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I:\_Roblab\Франшиза\"/>
    </mc:Choice>
  </mc:AlternateContent>
  <workbookProtection workbookAlgorithmName="SHA-512" workbookHashValue="kQKwAWY+1BHZ7p9VnbKyM9n9uCVHd3grpfZ0pBtP4sICj97KvdPjqGZySNL8lbJGQ8XBxZdIj8ybYtdkAI0p2g==" workbookSaltValue="mywNu3drq1sHWTK+ROy7hg==" workbookSpinCount="100000" lockStructure="1"/>
  <bookViews>
    <workbookView xWindow="-120" yWindow="-120" windowWidth="24240" windowHeight="13740" tabRatio="867"/>
  </bookViews>
  <sheets>
    <sheet name="Как пользоваться" sheetId="1" r:id="rId1"/>
    <sheet name="Выбор франшизы" sheetId="6" r:id="rId2"/>
    <sheet name="Вводные" sheetId="2" r:id="rId3"/>
    <sheet name="Дополнительные услуги" sheetId="5" r:id="rId4"/>
    <sheet name="Оборудование" sheetId="4" r:id="rId5"/>
    <sheet name="Результат" sheetId="9" r:id="rId6"/>
    <sheet name="&gt;&gt;" sheetId="8" state="hidden" r:id="rId7"/>
    <sheet name="Вспомогательный" sheetId="3" state="hidden" r:id="rId8"/>
    <sheet name="Замечания" sheetId="7" state="hidden"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5" i="9" l="1"/>
  <c r="F45" i="9"/>
  <c r="G45" i="9"/>
  <c r="Q5" i="9" l="1"/>
  <c r="R5" i="9"/>
  <c r="S5" i="9"/>
  <c r="T5" i="9"/>
  <c r="U5" i="9"/>
  <c r="F7" i="6" l="1"/>
  <c r="BG8" i="2" l="1"/>
  <c r="AJ38" i="3" l="1"/>
  <c r="AJ37" i="3"/>
  <c r="AJ36" i="3"/>
  <c r="AJ35" i="3"/>
  <c r="AJ34" i="3"/>
  <c r="AJ33" i="3"/>
  <c r="AJ32" i="3"/>
  <c r="AJ31" i="3"/>
  <c r="AJ30" i="3"/>
  <c r="W38" i="3"/>
  <c r="W37" i="3"/>
  <c r="W36" i="3"/>
  <c r="W35" i="3"/>
  <c r="W34" i="3"/>
  <c r="W33" i="3"/>
  <c r="W32" i="3"/>
  <c r="W31" i="3"/>
  <c r="W30" i="3"/>
  <c r="AN38" i="3"/>
  <c r="AN37" i="3"/>
  <c r="AN36" i="3"/>
  <c r="AN35" i="3"/>
  <c r="AN34" i="3"/>
  <c r="AN32" i="3"/>
  <c r="AN31" i="3"/>
  <c r="AN33" i="3"/>
  <c r="AN30" i="3"/>
  <c r="AA38" i="3"/>
  <c r="AA37" i="3"/>
  <c r="AA36" i="3"/>
  <c r="AA35" i="3"/>
  <c r="AA34" i="3"/>
  <c r="AA33" i="3"/>
  <c r="AA32" i="3"/>
  <c r="AA31" i="3"/>
  <c r="AA30" i="3"/>
  <c r="N37" i="3"/>
  <c r="N36" i="3"/>
  <c r="N35" i="3"/>
  <c r="N34" i="3"/>
  <c r="N33" i="3"/>
  <c r="N32" i="3"/>
  <c r="N31" i="3"/>
  <c r="N30" i="3"/>
  <c r="F33" i="2"/>
  <c r="C19" i="9"/>
  <c r="C16" i="9"/>
  <c r="AE60" i="3" l="1"/>
  <c r="A115" i="9"/>
  <c r="A38" i="4"/>
  <c r="A35" i="5"/>
  <c r="A46" i="2"/>
  <c r="A21" i="6"/>
  <c r="A31" i="1"/>
  <c r="BG12" i="2" l="1"/>
  <c r="F12" i="2" s="1"/>
  <c r="AI121" i="3" l="1"/>
  <c r="AH121" i="3"/>
  <c r="AG121" i="3"/>
  <c r="AF121" i="3"/>
  <c r="AE121" i="3"/>
  <c r="AD121" i="3"/>
  <c r="AC121" i="3"/>
  <c r="AB121" i="3"/>
  <c r="AA121" i="3"/>
  <c r="W121" i="3"/>
  <c r="V121" i="3"/>
  <c r="U121" i="3"/>
  <c r="T121" i="3"/>
  <c r="S121" i="3"/>
  <c r="R121" i="3"/>
  <c r="Q121" i="3"/>
  <c r="P121" i="3"/>
  <c r="O121" i="3"/>
  <c r="K121" i="3"/>
  <c r="J121" i="3"/>
  <c r="I121" i="3"/>
  <c r="H121" i="3"/>
  <c r="G121" i="3"/>
  <c r="F121" i="3"/>
  <c r="E121" i="3"/>
  <c r="D121" i="3"/>
  <c r="C121" i="3"/>
  <c r="P30" i="9"/>
  <c r="P29" i="9"/>
  <c r="P39" i="9"/>
  <c r="P24" i="9"/>
  <c r="P23" i="9"/>
  <c r="P22" i="9"/>
  <c r="P21" i="9"/>
  <c r="P20" i="9"/>
  <c r="P18" i="9"/>
  <c r="P17" i="9"/>
  <c r="P11" i="9"/>
  <c r="P10" i="9"/>
  <c r="P9" i="9"/>
  <c r="P7" i="9"/>
  <c r="BD5" i="9"/>
  <c r="BC5" i="9"/>
  <c r="AP5" i="9"/>
  <c r="AC5" i="9"/>
  <c r="P5" i="9"/>
  <c r="D11" i="6" l="1"/>
  <c r="D13" i="6"/>
  <c r="C8" i="9"/>
  <c r="AE66" i="3"/>
  <c r="R66" i="3"/>
  <c r="BB39" i="9"/>
  <c r="BA39" i="9"/>
  <c r="AZ39" i="9"/>
  <c r="AO39" i="9"/>
  <c r="AN39" i="9"/>
  <c r="AM39" i="9"/>
  <c r="AB39" i="9"/>
  <c r="AA39" i="9"/>
  <c r="Z39" i="9"/>
  <c r="T39" i="9"/>
  <c r="S39" i="9"/>
  <c r="R39" i="9"/>
  <c r="Q39" i="9"/>
  <c r="AY11" i="9"/>
  <c r="AX11" i="9"/>
  <c r="AW11" i="9"/>
  <c r="AV11" i="9"/>
  <c r="AU11" i="9"/>
  <c r="AT11" i="9"/>
  <c r="AS11" i="9"/>
  <c r="AR11" i="9"/>
  <c r="AQ11" i="9"/>
  <c r="AL11" i="9"/>
  <c r="AK11" i="9"/>
  <c r="AJ11" i="9"/>
  <c r="AI11" i="9"/>
  <c r="AH11" i="9"/>
  <c r="AG11" i="9"/>
  <c r="AF11" i="9"/>
  <c r="AE11" i="9"/>
  <c r="AD11" i="9"/>
  <c r="Y11" i="9"/>
  <c r="X11" i="9"/>
  <c r="W11" i="9"/>
  <c r="V11" i="9"/>
  <c r="U11" i="9"/>
  <c r="T11" i="9"/>
  <c r="S11" i="9"/>
  <c r="R11" i="9"/>
  <c r="Q11" i="9"/>
  <c r="BB5" i="9"/>
  <c r="BA5" i="9"/>
  <c r="AZ5" i="9"/>
  <c r="AY5" i="9"/>
  <c r="AX5" i="9"/>
  <c r="AW5" i="9"/>
  <c r="AV5" i="9"/>
  <c r="AU5" i="9"/>
  <c r="AT5" i="9"/>
  <c r="AS5" i="9"/>
  <c r="AR5" i="9"/>
  <c r="AQ5" i="9"/>
  <c r="AO5" i="9"/>
  <c r="AN5" i="9"/>
  <c r="AM5" i="9"/>
  <c r="AL5" i="9"/>
  <c r="AK5" i="9"/>
  <c r="AJ5" i="9"/>
  <c r="AI5" i="9"/>
  <c r="AH5" i="9"/>
  <c r="AG5" i="9"/>
  <c r="AF5" i="9"/>
  <c r="AE5" i="9"/>
  <c r="AD5" i="9"/>
  <c r="AB5" i="9"/>
  <c r="AA5" i="9"/>
  <c r="Z5" i="9"/>
  <c r="Y5" i="9"/>
  <c r="X5" i="9"/>
  <c r="W5" i="9"/>
  <c r="V5" i="9"/>
  <c r="P8" i="9" l="1"/>
  <c r="C42" i="9"/>
  <c r="P16" i="9"/>
  <c r="P19" i="9"/>
  <c r="G3" i="2"/>
  <c r="D9" i="6"/>
  <c r="D8" i="2" l="1"/>
  <c r="F8" i="2"/>
  <c r="D33" i="2"/>
  <c r="BG33" i="2" s="1"/>
  <c r="D42" i="2"/>
  <c r="BC7" i="5"/>
  <c r="D15" i="2"/>
  <c r="D25" i="2"/>
  <c r="D29" i="2"/>
  <c r="D37" i="2"/>
  <c r="D16" i="2"/>
  <c r="D26" i="2"/>
  <c r="D30" i="2"/>
  <c r="D38" i="2"/>
  <c r="D13" i="2"/>
  <c r="D17" i="2"/>
  <c r="D27" i="2"/>
  <c r="D31" i="2"/>
  <c r="BG31" i="2" s="1"/>
  <c r="F31" i="2" s="1"/>
  <c r="D41" i="2"/>
  <c r="D14" i="2"/>
  <c r="D28" i="2"/>
  <c r="D32" i="2"/>
  <c r="AL114" i="3" l="1"/>
  <c r="AL118" i="3" s="1"/>
  <c r="AN123" i="3" s="1"/>
  <c r="AK114" i="3"/>
  <c r="AK118" i="3" s="1"/>
  <c r="AM123" i="3" s="1"/>
  <c r="AJ114" i="3"/>
  <c r="AJ118" i="3" s="1"/>
  <c r="AL123" i="3" s="1"/>
  <c r="AI114" i="3"/>
  <c r="AI118" i="3" s="1"/>
  <c r="AK123" i="3" s="1"/>
  <c r="AH114" i="3"/>
  <c r="AH118" i="3" s="1"/>
  <c r="AJ123" i="3" s="1"/>
  <c r="AG114" i="3"/>
  <c r="AG118" i="3" s="1"/>
  <c r="AI123" i="3" s="1"/>
  <c r="AF114" i="3"/>
  <c r="AF118" i="3" s="1"/>
  <c r="AH123" i="3" s="1"/>
  <c r="AE114" i="3"/>
  <c r="AE118" i="3" s="1"/>
  <c r="AG123" i="3" s="1"/>
  <c r="AD114" i="3"/>
  <c r="AD118" i="3" s="1"/>
  <c r="AF123" i="3" s="1"/>
  <c r="AC114" i="3"/>
  <c r="AC118" i="3" s="1"/>
  <c r="AE123" i="3" s="1"/>
  <c r="AB114" i="3"/>
  <c r="AB118" i="3" s="1"/>
  <c r="AD123" i="3" s="1"/>
  <c r="AA114" i="3"/>
  <c r="AA118" i="3" s="1"/>
  <c r="AC123" i="3" s="1"/>
  <c r="Z114" i="3"/>
  <c r="Z118" i="3" s="1"/>
  <c r="AB123" i="3" s="1"/>
  <c r="Y114" i="3"/>
  <c r="Y118" i="3" s="1"/>
  <c r="AA123" i="3" s="1"/>
  <c r="X114" i="3"/>
  <c r="X118" i="3" s="1"/>
  <c r="Z123" i="3" s="1"/>
  <c r="W114" i="3"/>
  <c r="W118" i="3" s="1"/>
  <c r="Y123" i="3" s="1"/>
  <c r="V114" i="3"/>
  <c r="V118" i="3" s="1"/>
  <c r="X123" i="3" s="1"/>
  <c r="U114" i="3"/>
  <c r="U118" i="3" s="1"/>
  <c r="W123" i="3" s="1"/>
  <c r="T114" i="3"/>
  <c r="T118" i="3" s="1"/>
  <c r="V123" i="3" s="1"/>
  <c r="S114" i="3"/>
  <c r="S118" i="3" s="1"/>
  <c r="U123" i="3" s="1"/>
  <c r="R114" i="3"/>
  <c r="R118" i="3" s="1"/>
  <c r="T123" i="3" s="1"/>
  <c r="Q114" i="3"/>
  <c r="Q118" i="3" s="1"/>
  <c r="S123" i="3" s="1"/>
  <c r="P114" i="3"/>
  <c r="P118" i="3" s="1"/>
  <c r="R123" i="3" s="1"/>
  <c r="O114" i="3"/>
  <c r="O118" i="3" s="1"/>
  <c r="Q123" i="3" s="1"/>
  <c r="N114" i="3"/>
  <c r="N118" i="3" s="1"/>
  <c r="P123" i="3" s="1"/>
  <c r="M114" i="3"/>
  <c r="M118" i="3" s="1"/>
  <c r="O123" i="3" s="1"/>
  <c r="L114" i="3"/>
  <c r="L118" i="3" s="1"/>
  <c r="N123" i="3" s="1"/>
  <c r="K114" i="3"/>
  <c r="K118" i="3" s="1"/>
  <c r="M123" i="3" s="1"/>
  <c r="J114" i="3"/>
  <c r="J118" i="3" s="1"/>
  <c r="L123" i="3" s="1"/>
  <c r="I114" i="3"/>
  <c r="I118" i="3" s="1"/>
  <c r="K123" i="3" s="1"/>
  <c r="H114" i="3"/>
  <c r="H118" i="3" s="1"/>
  <c r="J123" i="3" s="1"/>
  <c r="G114" i="3"/>
  <c r="G118" i="3" s="1"/>
  <c r="I123" i="3" s="1"/>
  <c r="F114" i="3"/>
  <c r="F118" i="3" s="1"/>
  <c r="H123" i="3" s="1"/>
  <c r="E114" i="3"/>
  <c r="E118" i="3" s="1"/>
  <c r="G123" i="3" s="1"/>
  <c r="D114" i="3"/>
  <c r="D118" i="3" s="1"/>
  <c r="F123" i="3" s="1"/>
  <c r="C114" i="3"/>
  <c r="C118" i="3" s="1"/>
  <c r="E123" i="3" s="1"/>
  <c r="B114" i="3"/>
  <c r="B118" i="3" s="1"/>
  <c r="C123" i="3" s="1"/>
  <c r="D86" i="3"/>
  <c r="F41" i="2" l="1"/>
  <c r="F28" i="2" l="1"/>
  <c r="F32" i="2" l="1"/>
  <c r="BF17" i="2"/>
  <c r="BF16" i="2"/>
  <c r="E70" i="3"/>
  <c r="E69" i="3"/>
  <c r="G2" i="3"/>
  <c r="G5" i="3"/>
  <c r="G4" i="3"/>
  <c r="G3" i="3"/>
  <c r="G7" i="3"/>
  <c r="G6" i="3"/>
  <c r="D21" i="2" s="1"/>
  <c r="BG28" i="2" l="1"/>
  <c r="BG27" i="2"/>
  <c r="F27" i="2" s="1"/>
  <c r="BF41" i="2"/>
  <c r="BG32" i="2"/>
  <c r="BG17" i="2"/>
  <c r="BG42" i="2"/>
  <c r="F42" i="2" s="1"/>
  <c r="BG16" i="2"/>
  <c r="B6" i="5" s="1"/>
  <c r="B75" i="3" l="1"/>
  <c r="B19" i="5"/>
  <c r="D22" i="5"/>
  <c r="BD22" i="5" s="1"/>
  <c r="F22" i="5" s="1"/>
  <c r="D24" i="5"/>
  <c r="BD24" i="5" s="1"/>
  <c r="F24" i="5" s="1"/>
  <c r="D27" i="5"/>
  <c r="BD27" i="5" s="1"/>
  <c r="F27" i="5" s="1"/>
  <c r="D25" i="5"/>
  <c r="BD25" i="5" s="1"/>
  <c r="F25" i="5" s="1"/>
  <c r="D23" i="5"/>
  <c r="BD23" i="5" s="1"/>
  <c r="F23" i="5" s="1"/>
  <c r="D30" i="5"/>
  <c r="BD30" i="5" s="1"/>
  <c r="F30" i="5" s="1"/>
  <c r="D26" i="5"/>
  <c r="BD26" i="5" s="1"/>
  <c r="F26" i="5" s="1"/>
  <c r="D21" i="5"/>
  <c r="D28" i="5"/>
  <c r="BD28" i="5" s="1"/>
  <c r="F28" i="5" s="1"/>
  <c r="D29" i="5"/>
  <c r="BD29" i="5" s="1"/>
  <c r="F29" i="5" s="1"/>
  <c r="D8" i="5"/>
  <c r="D13" i="5"/>
  <c r="BD13" i="5" s="1"/>
  <c r="F13" i="5" s="1"/>
  <c r="D9" i="5"/>
  <c r="BD9" i="5" s="1"/>
  <c r="F9" i="5" s="1"/>
  <c r="D12" i="5"/>
  <c r="BD12" i="5" s="1"/>
  <c r="F12" i="5" s="1"/>
  <c r="D11" i="5"/>
  <c r="BD11" i="5" s="1"/>
  <c r="F11" i="5" s="1"/>
  <c r="D10" i="5"/>
  <c r="BD10" i="5" s="1"/>
  <c r="F10" i="5" s="1"/>
  <c r="BG41" i="2"/>
  <c r="B56" i="3" s="1"/>
  <c r="C56" i="3" s="1"/>
  <c r="BA7" i="9" l="1"/>
  <c r="BB7" i="9"/>
  <c r="AM7" i="9"/>
  <c r="AA7" i="9"/>
  <c r="AB7" i="9"/>
  <c r="Z7" i="9"/>
  <c r="AO7" i="9"/>
  <c r="AZ7" i="9"/>
  <c r="AN7" i="9"/>
  <c r="D31" i="5"/>
  <c r="BD21" i="5"/>
  <c r="F21" i="5" s="1"/>
  <c r="D14" i="5"/>
  <c r="BD8" i="5"/>
  <c r="F8" i="5" s="1"/>
  <c r="BG38" i="2"/>
  <c r="F38" i="2" s="1"/>
  <c r="BG37" i="2"/>
  <c r="F37" i="2" s="1"/>
  <c r="BG30" i="2"/>
  <c r="F30" i="2" s="1"/>
  <c r="BG25" i="2"/>
  <c r="F25" i="2" s="1"/>
  <c r="BG14" i="2"/>
  <c r="F14" i="2" s="1"/>
  <c r="BG13" i="2"/>
  <c r="F13" i="2" s="1"/>
  <c r="BG15" i="2"/>
  <c r="F15" i="2" s="1"/>
  <c r="AE25" i="3"/>
  <c r="AE24" i="3"/>
  <c r="AE23" i="3"/>
  <c r="BG29" i="2" l="1"/>
  <c r="F29" i="2" s="1"/>
  <c r="C41" i="3"/>
  <c r="BD31" i="5"/>
  <c r="C31" i="5" s="1"/>
  <c r="F31" i="5" s="1"/>
  <c r="C95" i="3"/>
  <c r="BD14" i="5"/>
  <c r="C14" i="5" s="1"/>
  <c r="F14" i="5" s="1"/>
  <c r="C87" i="3"/>
  <c r="BG26" i="2"/>
  <c r="F26" i="2" s="1"/>
  <c r="BH14" i="2"/>
  <c r="C69" i="3"/>
  <c r="C70" i="3"/>
  <c r="AQ63" i="3"/>
  <c r="F21" i="2"/>
  <c r="BF21" i="2"/>
  <c r="AC95" i="3" l="1"/>
  <c r="C96" i="3"/>
  <c r="C98" i="3"/>
  <c r="AO95" i="3"/>
  <c r="C99" i="3"/>
  <c r="C97" i="3"/>
  <c r="Q95" i="3"/>
  <c r="AQ95" i="3"/>
  <c r="AP95" i="3"/>
  <c r="AD95" i="3"/>
  <c r="O95" i="3"/>
  <c r="C101" i="3"/>
  <c r="AB95" i="3"/>
  <c r="P95" i="3"/>
  <c r="C100" i="3"/>
  <c r="Y63" i="3"/>
  <c r="AI63" i="3"/>
  <c r="AF63" i="3"/>
  <c r="S63" i="3"/>
  <c r="AK63" i="3"/>
  <c r="U63" i="3"/>
  <c r="Z63" i="3"/>
  <c r="AM63" i="3"/>
  <c r="AH63" i="3"/>
  <c r="AJ63" i="3"/>
  <c r="T63" i="3"/>
  <c r="AA63" i="3"/>
  <c r="V63" i="3"/>
  <c r="AD63" i="3"/>
  <c r="AL63" i="3"/>
  <c r="AO63" i="3"/>
  <c r="Q63" i="3"/>
  <c r="X63" i="3"/>
  <c r="AP63" i="3"/>
  <c r="W63" i="3"/>
  <c r="AG63" i="3"/>
  <c r="AN63" i="3"/>
  <c r="BG21" i="2"/>
  <c r="BB4" i="4"/>
  <c r="H12" i="4"/>
  <c r="C13" i="3"/>
  <c r="C12" i="3"/>
  <c r="C11" i="3"/>
  <c r="C10" i="3"/>
  <c r="C9" i="3"/>
  <c r="BF7" i="2" s="1"/>
  <c r="C8" i="3"/>
  <c r="C7" i="3"/>
  <c r="C6" i="3"/>
  <c r="C5" i="3"/>
  <c r="C4" i="3"/>
  <c r="C3" i="3"/>
  <c r="C2" i="3"/>
  <c r="AQ22" i="3" l="1"/>
  <c r="AM22" i="3"/>
  <c r="AI22" i="3"/>
  <c r="AE22" i="3"/>
  <c r="AA22" i="3"/>
  <c r="W22" i="3"/>
  <c r="S22" i="3"/>
  <c r="AO22" i="3"/>
  <c r="Y22" i="3"/>
  <c r="AN22" i="3"/>
  <c r="AF22" i="3"/>
  <c r="X22" i="3"/>
  <c r="AP22" i="3"/>
  <c r="AL22" i="3"/>
  <c r="AH22" i="3"/>
  <c r="Z22" i="3"/>
  <c r="V22" i="3"/>
  <c r="AK22" i="3"/>
  <c r="AC22" i="3"/>
  <c r="U22" i="3"/>
  <c r="AJ22" i="3"/>
  <c r="AB22" i="3"/>
  <c r="T22" i="3"/>
  <c r="AG22" i="3"/>
  <c r="BG7" i="2"/>
  <c r="BH7" i="2" s="1"/>
  <c r="F6" i="6" s="1"/>
  <c r="BB11" i="9"/>
  <c r="AL121" i="3"/>
  <c r="AO11" i="9"/>
  <c r="Z121" i="3"/>
  <c r="AZ11" i="9"/>
  <c r="AJ121" i="3"/>
  <c r="AM11" i="9"/>
  <c r="X121" i="3"/>
  <c r="BA11" i="9"/>
  <c r="AK121" i="3"/>
  <c r="AN11" i="9"/>
  <c r="E11" i="9" s="1"/>
  <c r="Y121" i="3"/>
  <c r="AA11" i="9"/>
  <c r="M121" i="3"/>
  <c r="Z11" i="9"/>
  <c r="L121" i="3"/>
  <c r="AB11" i="9"/>
  <c r="N121" i="3"/>
  <c r="L5" i="4"/>
  <c r="P10" i="4"/>
  <c r="AD23" i="3" s="1"/>
  <c r="L10" i="4"/>
  <c r="Q24" i="3" s="1"/>
  <c r="H10" i="4"/>
  <c r="D10" i="4"/>
  <c r="AD97" i="3"/>
  <c r="AB97" i="3"/>
  <c r="AQ97" i="3"/>
  <c r="AP97" i="3"/>
  <c r="AC97" i="3"/>
  <c r="P97" i="3"/>
  <c r="O97" i="3"/>
  <c r="Q97" i="3"/>
  <c r="AO97" i="3"/>
  <c r="AC99" i="3"/>
  <c r="P99" i="3"/>
  <c r="AD99" i="3"/>
  <c r="AO99" i="3"/>
  <c r="Q99" i="3"/>
  <c r="AP99" i="3"/>
  <c r="AQ99" i="3"/>
  <c r="O99" i="3"/>
  <c r="AB99" i="3"/>
  <c r="AC96" i="3"/>
  <c r="P96" i="3"/>
  <c r="AB96" i="3"/>
  <c r="Q96" i="3"/>
  <c r="AP96" i="3"/>
  <c r="AO96" i="3"/>
  <c r="AQ96" i="3"/>
  <c r="O96" i="3"/>
  <c r="AD96" i="3"/>
  <c r="C102" i="3"/>
  <c r="O101" i="3"/>
  <c r="Q101" i="3"/>
  <c r="AC101" i="3"/>
  <c r="AP101" i="3"/>
  <c r="AO101" i="3"/>
  <c r="AQ101" i="3"/>
  <c r="P101" i="3"/>
  <c r="AD101" i="3"/>
  <c r="AB101" i="3"/>
  <c r="AA100" i="3"/>
  <c r="AA102" i="3" s="1"/>
  <c r="AN100" i="3"/>
  <c r="AN102" i="3" s="1"/>
  <c r="N100" i="3"/>
  <c r="N102" i="3" s="1"/>
  <c r="AB98" i="3"/>
  <c r="AO98" i="3"/>
  <c r="O98" i="3"/>
  <c r="P98" i="3"/>
  <c r="AD98" i="3"/>
  <c r="AP98" i="3"/>
  <c r="AC98" i="3"/>
  <c r="AQ98" i="3"/>
  <c r="Q98" i="3"/>
  <c r="AE63" i="3"/>
  <c r="C25" i="3"/>
  <c r="B25" i="3"/>
  <c r="B24" i="3"/>
  <c r="D11" i="9" l="1"/>
  <c r="H11" i="9" s="1"/>
  <c r="AP11" i="9"/>
  <c r="AD25" i="3"/>
  <c r="AD22" i="3" s="1"/>
  <c r="AD24" i="3"/>
  <c r="Q23" i="3"/>
  <c r="AC102" i="3"/>
  <c r="P102" i="3"/>
  <c r="O102" i="3"/>
  <c r="Q102" i="3"/>
  <c r="AB102" i="3"/>
  <c r="AD102" i="3"/>
  <c r="AQ102" i="3"/>
  <c r="AO102" i="3"/>
  <c r="AP102" i="3"/>
  <c r="I11" i="9" l="1"/>
  <c r="AC11" i="9"/>
  <c r="C17" i="3" l="1"/>
  <c r="C53" i="3" s="1"/>
  <c r="D17" i="3" l="1"/>
  <c r="CQ5" i="9"/>
  <c r="G24" i="3" l="1"/>
  <c r="E53" i="3"/>
  <c r="U56" i="3"/>
  <c r="Z56" i="3"/>
  <c r="K23" i="3"/>
  <c r="N50" i="3"/>
  <c r="AP56" i="3"/>
  <c r="AN56" i="3"/>
  <c r="L56" i="3"/>
  <c r="S50" i="3"/>
  <c r="M23" i="3"/>
  <c r="F53" i="3"/>
  <c r="S56" i="3"/>
  <c r="AB56" i="3"/>
  <c r="AG56" i="3"/>
  <c r="H23" i="3"/>
  <c r="I23" i="3"/>
  <c r="AG53" i="3"/>
  <c r="AH50" i="3"/>
  <c r="AO56" i="3"/>
  <c r="AK56" i="3"/>
  <c r="AA56" i="3"/>
  <c r="K24" i="3"/>
  <c r="E25" i="3"/>
  <c r="AQ53" i="3"/>
  <c r="AP50" i="3"/>
  <c r="Q53" i="3"/>
  <c r="J24" i="3"/>
  <c r="G25" i="3"/>
  <c r="G53" i="3"/>
  <c r="M25" i="3"/>
  <c r="L63" i="3"/>
  <c r="L24" i="3"/>
  <c r="X53" i="3"/>
  <c r="AD56" i="3"/>
  <c r="X56" i="3"/>
  <c r="G56" i="3"/>
  <c r="F23" i="3"/>
  <c r="W56" i="3"/>
  <c r="E23" i="3"/>
  <c r="AQ56" i="3"/>
  <c r="F56" i="3"/>
  <c r="O56" i="3"/>
  <c r="K53" i="3"/>
  <c r="H56" i="3"/>
  <c r="M56" i="3"/>
  <c r="Y56" i="3"/>
  <c r="AE53" i="3"/>
  <c r="O25" i="3"/>
  <c r="M50" i="3"/>
  <c r="N25" i="3"/>
  <c r="P53" i="3"/>
  <c r="P25" i="3"/>
  <c r="J50" i="3"/>
  <c r="H25" i="3"/>
  <c r="S53" i="3"/>
  <c r="E56" i="3"/>
  <c r="E57" i="3" s="1"/>
  <c r="N56" i="3"/>
  <c r="N23" i="3"/>
  <c r="Q56" i="3"/>
  <c r="F63" i="3"/>
  <c r="O24" i="3"/>
  <c r="AB63" i="3"/>
  <c r="K50" i="3"/>
  <c r="I50" i="3"/>
  <c r="I25" i="3"/>
  <c r="W50" i="3"/>
  <c r="AA53" i="3"/>
  <c r="AN50" i="3"/>
  <c r="J63" i="3"/>
  <c r="AI56" i="3"/>
  <c r="AC56" i="3"/>
  <c r="G23" i="3"/>
  <c r="G22" i="3" s="1"/>
  <c r="E17" i="3"/>
  <c r="T56" i="3"/>
  <c r="J23" i="3"/>
  <c r="AE56" i="3"/>
  <c r="Y50" i="3"/>
  <c r="L23" i="3"/>
  <c r="I24" i="3"/>
  <c r="F24" i="3"/>
  <c r="U53" i="3"/>
  <c r="H24" i="3"/>
  <c r="P23" i="3"/>
  <c r="AL56" i="3"/>
  <c r="P56" i="3"/>
  <c r="AJ56" i="3"/>
  <c r="E24" i="3"/>
  <c r="V56" i="3"/>
  <c r="R56" i="3"/>
  <c r="AM56" i="3"/>
  <c r="K56" i="3"/>
  <c r="AH56" i="3"/>
  <c r="X50" i="3"/>
  <c r="AF56" i="3"/>
  <c r="I56" i="3"/>
  <c r="J56" i="3"/>
  <c r="G50" i="3"/>
  <c r="Y53" i="3"/>
  <c r="L50" i="3"/>
  <c r="O23" i="3"/>
  <c r="E50" i="3"/>
  <c r="M63" i="3"/>
  <c r="Z50" i="3"/>
  <c r="K63" i="3"/>
  <c r="H53" i="3"/>
  <c r="H50" i="3"/>
  <c r="N24" i="3"/>
  <c r="E63" i="3"/>
  <c r="AG50" i="3"/>
  <c r="U50" i="3"/>
  <c r="AL53" i="3"/>
  <c r="I63" i="3"/>
  <c r="K25" i="3"/>
  <c r="P63" i="3"/>
  <c r="O63" i="3"/>
  <c r="AM50" i="3"/>
  <c r="AC53" i="3"/>
  <c r="I53" i="3"/>
  <c r="N53" i="3"/>
  <c r="AB53" i="3"/>
  <c r="F50" i="3"/>
  <c r="W53" i="3"/>
  <c r="AI50" i="3"/>
  <c r="P24" i="3"/>
  <c r="AC63" i="3"/>
  <c r="AA50" i="3"/>
  <c r="V53" i="3"/>
  <c r="AN53" i="3"/>
  <c r="T50" i="3"/>
  <c r="AI53" i="3"/>
  <c r="M53" i="3"/>
  <c r="CR5" i="9"/>
  <c r="AP65" i="3"/>
  <c r="AL65" i="3"/>
  <c r="AH65" i="3"/>
  <c r="AD65" i="3"/>
  <c r="Z65" i="3"/>
  <c r="V65" i="3"/>
  <c r="R65" i="3"/>
  <c r="N65" i="3"/>
  <c r="I65" i="3"/>
  <c r="E65" i="3"/>
  <c r="AN65" i="3"/>
  <c r="AI65" i="3"/>
  <c r="AC65" i="3"/>
  <c r="X65" i="3"/>
  <c r="S65" i="3"/>
  <c r="M65" i="3"/>
  <c r="G65" i="3"/>
  <c r="AM65" i="3"/>
  <c r="AG65" i="3"/>
  <c r="AB65" i="3"/>
  <c r="W65" i="3"/>
  <c r="Q65" i="3"/>
  <c r="L65" i="3"/>
  <c r="F65" i="3"/>
  <c r="AQ65" i="3"/>
  <c r="AK65" i="3"/>
  <c r="AF65" i="3"/>
  <c r="AA65" i="3"/>
  <c r="U65" i="3"/>
  <c r="P65" i="3"/>
  <c r="J65" i="3"/>
  <c r="K65" i="3"/>
  <c r="AO65" i="3"/>
  <c r="AJ65" i="3"/>
  <c r="AE65" i="3"/>
  <c r="Y65" i="3"/>
  <c r="T65" i="3"/>
  <c r="O65" i="3"/>
  <c r="H65" i="3"/>
  <c r="AL50" i="3"/>
  <c r="AO50" i="3"/>
  <c r="J53" i="3"/>
  <c r="AK53" i="3"/>
  <c r="V50" i="3"/>
  <c r="AM53" i="3"/>
  <c r="AK50" i="3"/>
  <c r="AF50" i="3"/>
  <c r="L53" i="3"/>
  <c r="N63" i="3"/>
  <c r="AF53" i="3"/>
  <c r="AP53" i="3"/>
  <c r="G63" i="3"/>
  <c r="O53" i="3"/>
  <c r="T53" i="3"/>
  <c r="L25" i="3"/>
  <c r="J25" i="3"/>
  <c r="AH53" i="3"/>
  <c r="AJ53" i="3"/>
  <c r="AQ50" i="3"/>
  <c r="AO53" i="3"/>
  <c r="AJ50" i="3"/>
  <c r="AD53" i="3"/>
  <c r="M24" i="3"/>
  <c r="H63" i="3"/>
  <c r="F25" i="3"/>
  <c r="Z53" i="3"/>
  <c r="BB38" i="9" l="1"/>
  <c r="AX38" i="9"/>
  <c r="AT38" i="9"/>
  <c r="AO38" i="9"/>
  <c r="AK38" i="9"/>
  <c r="AG38" i="9"/>
  <c r="BB36" i="9"/>
  <c r="BB41" i="9" s="1"/>
  <c r="AO36" i="9"/>
  <c r="AB36" i="9"/>
  <c r="BB28" i="9"/>
  <c r="AX28" i="9"/>
  <c r="AT28" i="9"/>
  <c r="AO28" i="9"/>
  <c r="AK28" i="9"/>
  <c r="AG28" i="9"/>
  <c r="AB28" i="9"/>
  <c r="X28" i="9"/>
  <c r="S28" i="9"/>
  <c r="BA25" i="9"/>
  <c r="AW25" i="9"/>
  <c r="AS25" i="9"/>
  <c r="AN25" i="9"/>
  <c r="AJ25" i="9"/>
  <c r="AF25" i="9"/>
  <c r="AA25" i="9"/>
  <c r="W25" i="9"/>
  <c r="S25" i="9"/>
  <c r="BA38" i="9"/>
  <c r="AW38" i="9"/>
  <c r="AS38" i="9"/>
  <c r="AN38" i="9"/>
  <c r="AF38" i="9"/>
  <c r="BA36" i="9"/>
  <c r="AN36" i="9"/>
  <c r="AJ38" i="9"/>
  <c r="AZ38" i="9"/>
  <c r="AV38" i="9"/>
  <c r="AR38" i="9"/>
  <c r="AM38" i="9"/>
  <c r="AI38" i="9"/>
  <c r="AE38" i="9"/>
  <c r="R38" i="9"/>
  <c r="AZ36" i="9"/>
  <c r="AM36" i="9"/>
  <c r="Z36" i="9"/>
  <c r="AZ28" i="9"/>
  <c r="AV28" i="9"/>
  <c r="AR28" i="9"/>
  <c r="AM28" i="9"/>
  <c r="AI28" i="9"/>
  <c r="AE28" i="9"/>
  <c r="Z28" i="9"/>
  <c r="V28" i="9"/>
  <c r="Q28" i="9"/>
  <c r="AY25" i="9"/>
  <c r="AU25" i="9"/>
  <c r="AQ25" i="9"/>
  <c r="AL25" i="9"/>
  <c r="AH25" i="9"/>
  <c r="AD25" i="9"/>
  <c r="Y25" i="9"/>
  <c r="U25" i="9"/>
  <c r="Q25" i="9"/>
  <c r="AY38" i="9"/>
  <c r="AU38" i="9"/>
  <c r="AQ38" i="9"/>
  <c r="AL38" i="9"/>
  <c r="AH38" i="9"/>
  <c r="AD38" i="9"/>
  <c r="AY28" i="9"/>
  <c r="AU28" i="9"/>
  <c r="AQ28" i="9"/>
  <c r="AL28" i="9"/>
  <c r="AH28" i="9"/>
  <c r="AD28" i="9"/>
  <c r="Y28" i="9"/>
  <c r="AN28" i="9"/>
  <c r="W28" i="9"/>
  <c r="AZ25" i="9"/>
  <c r="AR25" i="9"/>
  <c r="AI25" i="9"/>
  <c r="Z25" i="9"/>
  <c r="R25" i="9"/>
  <c r="AA36" i="9"/>
  <c r="BA28" i="9"/>
  <c r="AJ28" i="9"/>
  <c r="U28" i="9"/>
  <c r="AX25" i="9"/>
  <c r="AO25" i="9"/>
  <c r="AG25" i="9"/>
  <c r="X25" i="9"/>
  <c r="T28" i="9"/>
  <c r="AW28" i="9"/>
  <c r="AF28" i="9"/>
  <c r="R28" i="9"/>
  <c r="AV25" i="9"/>
  <c r="AM25" i="9"/>
  <c r="AE25" i="9"/>
  <c r="V25" i="9"/>
  <c r="AS28" i="9"/>
  <c r="AA28" i="9"/>
  <c r="BB25" i="9"/>
  <c r="AT25" i="9"/>
  <c r="AK25" i="9"/>
  <c r="AB25" i="9"/>
  <c r="T25" i="9"/>
  <c r="O22" i="3"/>
  <c r="Z38" i="9" s="1"/>
  <c r="H22" i="3"/>
  <c r="S38" i="9" s="1"/>
  <c r="P22" i="3"/>
  <c r="AA38" i="9" s="1"/>
  <c r="J22" i="3"/>
  <c r="U38" i="9" s="1"/>
  <c r="L22" i="3"/>
  <c r="W38" i="9" s="1"/>
  <c r="N22" i="3"/>
  <c r="Y38" i="9" s="1"/>
  <c r="M22" i="3"/>
  <c r="X38" i="9" s="1"/>
  <c r="E22" i="3"/>
  <c r="F22" i="3"/>
  <c r="Q38" i="9" s="1"/>
  <c r="I22" i="3"/>
  <c r="T38" i="9" s="1"/>
  <c r="K22" i="3"/>
  <c r="V38" i="9" s="1"/>
  <c r="AE59" i="3"/>
  <c r="P60" i="3"/>
  <c r="AC60" i="3" s="1"/>
  <c r="AP60" i="3" s="1"/>
  <c r="AP59" i="3" s="1"/>
  <c r="L60" i="3"/>
  <c r="Y60" i="3" s="1"/>
  <c r="AL60" i="3" s="1"/>
  <c r="AL59" i="3" s="1"/>
  <c r="H60" i="3"/>
  <c r="U60" i="3" s="1"/>
  <c r="AH60" i="3" s="1"/>
  <c r="AH59" i="3" s="1"/>
  <c r="J60" i="3"/>
  <c r="W60" i="3" s="1"/>
  <c r="AJ60" i="3" s="1"/>
  <c r="AJ59" i="3" s="1"/>
  <c r="P59" i="3"/>
  <c r="M60" i="3"/>
  <c r="Z60" i="3" s="1"/>
  <c r="AM60" i="3" s="1"/>
  <c r="AM59" i="3" s="1"/>
  <c r="R59" i="3"/>
  <c r="E59" i="3"/>
  <c r="O60" i="3"/>
  <c r="AB60" i="3" s="1"/>
  <c r="AO60" i="3" s="1"/>
  <c r="AO59" i="3" s="1"/>
  <c r="K60" i="3"/>
  <c r="X60" i="3" s="1"/>
  <c r="AK60" i="3" s="1"/>
  <c r="AK59" i="3" s="1"/>
  <c r="N60" i="3"/>
  <c r="AA60" i="3" s="1"/>
  <c r="AN60" i="3" s="1"/>
  <c r="AN59" i="3" s="1"/>
  <c r="Q60" i="3"/>
  <c r="AD60" i="3" s="1"/>
  <c r="AQ60" i="3" s="1"/>
  <c r="AQ59" i="3" s="1"/>
  <c r="I60" i="3"/>
  <c r="V60" i="3" s="1"/>
  <c r="AI60" i="3" s="1"/>
  <c r="AI59" i="3" s="1"/>
  <c r="AA51" i="3"/>
  <c r="AL36" i="9" s="1"/>
  <c r="E60" i="3"/>
  <c r="G60" i="3"/>
  <c r="T60" i="3" s="1"/>
  <c r="AG60" i="3" s="1"/>
  <c r="AG59" i="3" s="1"/>
  <c r="F60" i="3"/>
  <c r="S60" i="3" s="1"/>
  <c r="AF60" i="3" s="1"/>
  <c r="AF59" i="3" s="1"/>
  <c r="V72" i="3"/>
  <c r="AG18" i="9" s="1"/>
  <c r="AQ87" i="3"/>
  <c r="AM72" i="3"/>
  <c r="AX18" i="9" s="1"/>
  <c r="AO87" i="3"/>
  <c r="E87" i="3"/>
  <c r="E88" i="3" s="1"/>
  <c r="AL87" i="3"/>
  <c r="L51" i="3"/>
  <c r="W36" i="9" s="1"/>
  <c r="I87" i="3"/>
  <c r="AN51" i="3"/>
  <c r="G72" i="3"/>
  <c r="R18" i="9" s="1"/>
  <c r="J72" i="3"/>
  <c r="U18" i="9" s="1"/>
  <c r="K72" i="3"/>
  <c r="V18" i="9" s="1"/>
  <c r="F72" i="3"/>
  <c r="Q18" i="9" s="1"/>
  <c r="Z87" i="3"/>
  <c r="E72" i="3"/>
  <c r="O72" i="3"/>
  <c r="Z18" i="9" s="1"/>
  <c r="AG87" i="3"/>
  <c r="X72" i="3"/>
  <c r="AI18" i="9" s="1"/>
  <c r="T51" i="3"/>
  <c r="AE36" i="9" s="1"/>
  <c r="AH51" i="3"/>
  <c r="AS36" i="9" s="1"/>
  <c r="AJ72" i="3"/>
  <c r="AU18" i="9" s="1"/>
  <c r="J51" i="3"/>
  <c r="U36" i="9" s="1"/>
  <c r="Q87" i="3"/>
  <c r="AP87" i="3"/>
  <c r="AE87" i="3"/>
  <c r="AE89" i="3" s="1"/>
  <c r="M87" i="3"/>
  <c r="AH72" i="3"/>
  <c r="AS18" i="9" s="1"/>
  <c r="AL72" i="3"/>
  <c r="AW18" i="9" s="1"/>
  <c r="D23" i="3"/>
  <c r="AJ87" i="3"/>
  <c r="AA87" i="3"/>
  <c r="AH87" i="3"/>
  <c r="AI87" i="3"/>
  <c r="F87" i="3"/>
  <c r="G87" i="3"/>
  <c r="E51" i="3"/>
  <c r="AN72" i="3"/>
  <c r="AY18" i="9" s="1"/>
  <c r="Y51" i="3"/>
  <c r="AJ36" i="9" s="1"/>
  <c r="V51" i="3"/>
  <c r="AG36" i="9" s="1"/>
  <c r="X51" i="3"/>
  <c r="AI36" i="9" s="1"/>
  <c r="T87" i="3"/>
  <c r="AI72" i="3"/>
  <c r="AT18" i="9" s="1"/>
  <c r="AM87" i="3"/>
  <c r="P87" i="3"/>
  <c r="F51" i="3"/>
  <c r="S87" i="3"/>
  <c r="N51" i="3"/>
  <c r="Y36" i="9" s="1"/>
  <c r="T72" i="3"/>
  <c r="AE18" i="9" s="1"/>
  <c r="S51" i="3"/>
  <c r="AD36" i="9" s="1"/>
  <c r="AF72" i="3"/>
  <c r="AQ18" i="9" s="1"/>
  <c r="AG51" i="3"/>
  <c r="AR36" i="9" s="1"/>
  <c r="AQ72" i="3"/>
  <c r="BB18" i="9" s="1"/>
  <c r="S72" i="3"/>
  <c r="AD18" i="9" s="1"/>
  <c r="R87" i="3"/>
  <c r="AF87" i="3"/>
  <c r="AC72" i="3"/>
  <c r="AN18" i="9" s="1"/>
  <c r="Z72" i="3"/>
  <c r="AK18" i="9" s="1"/>
  <c r="V87" i="3"/>
  <c r="AB87" i="3"/>
  <c r="H51" i="3"/>
  <c r="S36" i="9" s="1"/>
  <c r="Q72" i="3"/>
  <c r="AB18" i="9" s="1"/>
  <c r="AO72" i="3"/>
  <c r="AZ18" i="9" s="1"/>
  <c r="G51" i="3"/>
  <c r="P72" i="3"/>
  <c r="AA18" i="9" s="1"/>
  <c r="AD72" i="3"/>
  <c r="AO18" i="9" s="1"/>
  <c r="AM51" i="3"/>
  <c r="AX36" i="9" s="1"/>
  <c r="AF51" i="3"/>
  <c r="AJ51" i="3"/>
  <c r="AU36" i="9" s="1"/>
  <c r="R72" i="3"/>
  <c r="C26" i="9"/>
  <c r="J87" i="3"/>
  <c r="AD87" i="3"/>
  <c r="Y72" i="3"/>
  <c r="AJ18" i="9" s="1"/>
  <c r="L87" i="3"/>
  <c r="W72" i="3"/>
  <c r="AH18" i="9" s="1"/>
  <c r="AC87" i="3"/>
  <c r="AK72" i="3"/>
  <c r="AV18" i="9" s="1"/>
  <c r="W51" i="3"/>
  <c r="AH36" i="9" s="1"/>
  <c r="H87" i="3"/>
  <c r="K51" i="3"/>
  <c r="V36" i="9" s="1"/>
  <c r="AA72" i="3"/>
  <c r="AL18" i="9" s="1"/>
  <c r="AL51" i="3"/>
  <c r="AW36" i="9" s="1"/>
  <c r="AE72" i="3"/>
  <c r="Z51" i="3"/>
  <c r="AK36" i="9" s="1"/>
  <c r="AI51" i="3"/>
  <c r="AT36" i="9" s="1"/>
  <c r="C36" i="9"/>
  <c r="C40" i="3"/>
  <c r="N40" i="3" s="1"/>
  <c r="N41" i="3" s="1"/>
  <c r="K87" i="3"/>
  <c r="AP72" i="3"/>
  <c r="BA18" i="9" s="1"/>
  <c r="O87" i="3"/>
  <c r="N87" i="3"/>
  <c r="U87" i="3"/>
  <c r="X87" i="3"/>
  <c r="M72" i="3"/>
  <c r="X18" i="9" s="1"/>
  <c r="AN87" i="3"/>
  <c r="AK51" i="3"/>
  <c r="AV36" i="9" s="1"/>
  <c r="I51" i="3"/>
  <c r="T36" i="9" s="1"/>
  <c r="Y87" i="3"/>
  <c r="W87" i="3"/>
  <c r="AK87" i="3"/>
  <c r="M51" i="3"/>
  <c r="X36" i="9" s="1"/>
  <c r="I72" i="3"/>
  <c r="T18" i="9" s="1"/>
  <c r="AG72" i="3"/>
  <c r="AR18" i="9" s="1"/>
  <c r="N72" i="3"/>
  <c r="Y18" i="9" s="1"/>
  <c r="U51" i="3"/>
  <c r="AF36" i="9" s="1"/>
  <c r="AB72" i="3"/>
  <c r="AM18" i="9" s="1"/>
  <c r="L72" i="3"/>
  <c r="W18" i="9" s="1"/>
  <c r="H72" i="3"/>
  <c r="S18" i="9" s="1"/>
  <c r="U72" i="3"/>
  <c r="AF18" i="9" s="1"/>
  <c r="D24" i="3"/>
  <c r="Q25" i="3"/>
  <c r="Q22" i="3" s="1"/>
  <c r="AB38" i="9" s="1"/>
  <c r="C28" i="9"/>
  <c r="P28" i="9" s="1"/>
  <c r="C25" i="9"/>
  <c r="P25" i="9" s="1"/>
  <c r="AN41" i="9" l="1"/>
  <c r="Z41" i="9"/>
  <c r="Q36" i="9"/>
  <c r="Q41" i="9" s="1"/>
  <c r="AY36" i="9"/>
  <c r="AY41" i="9" s="1"/>
  <c r="AO41" i="9"/>
  <c r="T41" i="9"/>
  <c r="AW41" i="9"/>
  <c r="AH41" i="9"/>
  <c r="AQ36" i="9"/>
  <c r="AQ41" i="9" s="1"/>
  <c r="R36" i="9"/>
  <c r="X41" i="9"/>
  <c r="AR41" i="9"/>
  <c r="AE41" i="9"/>
  <c r="AV41" i="9"/>
  <c r="AJ41" i="9"/>
  <c r="U41" i="9"/>
  <c r="W41" i="9"/>
  <c r="AT41" i="9"/>
  <c r="Y41" i="9"/>
  <c r="AU41" i="9"/>
  <c r="S41" i="9"/>
  <c r="AD41" i="9"/>
  <c r="AS41" i="9"/>
  <c r="AF41" i="9"/>
  <c r="AM41" i="9"/>
  <c r="AK41" i="9"/>
  <c r="V41" i="9"/>
  <c r="AZ41" i="9"/>
  <c r="AI41" i="9"/>
  <c r="AL41" i="9"/>
  <c r="P36" i="9"/>
  <c r="AA41" i="9"/>
  <c r="BA41" i="9"/>
  <c r="AX41" i="9"/>
  <c r="AG41" i="9"/>
  <c r="J59" i="3"/>
  <c r="N27" i="3"/>
  <c r="Y39" i="9" s="1"/>
  <c r="J27" i="3"/>
  <c r="U39" i="9" s="1"/>
  <c r="M27" i="3"/>
  <c r="X39" i="9" s="1"/>
  <c r="S27" i="3"/>
  <c r="AD39" i="9" s="1"/>
  <c r="L27" i="3"/>
  <c r="W39" i="9" s="1"/>
  <c r="R27" i="3"/>
  <c r="K27" i="3"/>
  <c r="V39" i="9" s="1"/>
  <c r="T27" i="3"/>
  <c r="AE39" i="9" s="1"/>
  <c r="AC59" i="3"/>
  <c r="P26" i="9"/>
  <c r="Y59" i="3"/>
  <c r="Z59" i="3"/>
  <c r="H59" i="3"/>
  <c r="L59" i="3"/>
  <c r="U59" i="3"/>
  <c r="O59" i="3"/>
  <c r="V59" i="3"/>
  <c r="S59" i="3"/>
  <c r="T59" i="3"/>
  <c r="I59" i="3"/>
  <c r="X59" i="3"/>
  <c r="F59" i="3"/>
  <c r="G59" i="3"/>
  <c r="W59" i="3"/>
  <c r="AB59" i="3"/>
  <c r="Q59" i="3"/>
  <c r="N59" i="3"/>
  <c r="AD59" i="3"/>
  <c r="M59" i="3"/>
  <c r="K59" i="3"/>
  <c r="AA59" i="3"/>
  <c r="AZ37" i="9"/>
  <c r="AR10" i="9"/>
  <c r="AB120" i="3"/>
  <c r="AM10" i="9"/>
  <c r="X120" i="3"/>
  <c r="AQ10" i="9"/>
  <c r="AA120" i="3"/>
  <c r="AD10" i="9"/>
  <c r="O120" i="3"/>
  <c r="AX10" i="9"/>
  <c r="AH120" i="3"/>
  <c r="AT10" i="9"/>
  <c r="AD120" i="3"/>
  <c r="AU10" i="9"/>
  <c r="AE120" i="3"/>
  <c r="AZ10" i="9"/>
  <c r="AJ120" i="3"/>
  <c r="AJ10" i="9"/>
  <c r="U120" i="3"/>
  <c r="AV10" i="9"/>
  <c r="AF120" i="3"/>
  <c r="AN10" i="9"/>
  <c r="Y120" i="3"/>
  <c r="AO10" i="9"/>
  <c r="Z120" i="3"/>
  <c r="AG10" i="9"/>
  <c r="R120" i="3"/>
  <c r="AS10" i="9"/>
  <c r="AC120" i="3"/>
  <c r="AK10" i="9"/>
  <c r="V120" i="3"/>
  <c r="AW10" i="9"/>
  <c r="AG120" i="3"/>
  <c r="BA10" i="9"/>
  <c r="AK120" i="3"/>
  <c r="AI10" i="9"/>
  <c r="T120" i="3"/>
  <c r="AH10" i="9"/>
  <c r="S120" i="3"/>
  <c r="AY10" i="9"/>
  <c r="AI120" i="3"/>
  <c r="AF10" i="9"/>
  <c r="Q120" i="3"/>
  <c r="AE10" i="9"/>
  <c r="P120" i="3"/>
  <c r="AL10" i="9"/>
  <c r="W120" i="3"/>
  <c r="BB10" i="9"/>
  <c r="AL120" i="3"/>
  <c r="W10" i="9"/>
  <c r="I120" i="3"/>
  <c r="BA37" i="9"/>
  <c r="BB37" i="9"/>
  <c r="Z10" i="9"/>
  <c r="L120" i="3"/>
  <c r="AB10" i="9"/>
  <c r="N120" i="3"/>
  <c r="AN37" i="9"/>
  <c r="AO37" i="9"/>
  <c r="S37" i="9"/>
  <c r="T37" i="9"/>
  <c r="R10" i="9"/>
  <c r="D120" i="3"/>
  <c r="X10" i="9"/>
  <c r="J120" i="3"/>
  <c r="R37" i="9"/>
  <c r="Y10" i="9"/>
  <c r="K120" i="3"/>
  <c r="R90" i="3"/>
  <c r="V10" i="9"/>
  <c r="H120" i="3"/>
  <c r="S10" i="9"/>
  <c r="E120" i="3"/>
  <c r="U10" i="9"/>
  <c r="G120" i="3"/>
  <c r="AA10" i="9"/>
  <c r="M120" i="3"/>
  <c r="Q10" i="9"/>
  <c r="C120" i="3"/>
  <c r="AA37" i="9"/>
  <c r="T10" i="9"/>
  <c r="F120" i="3"/>
  <c r="AM37" i="9"/>
  <c r="Z37" i="9"/>
  <c r="AG89" i="3"/>
  <c r="AP88" i="3"/>
  <c r="BA30" i="9" s="1"/>
  <c r="C38" i="9"/>
  <c r="AG88" i="3"/>
  <c r="AR30" i="9" s="1"/>
  <c r="E90" i="3"/>
  <c r="E89" i="3"/>
  <c r="AG90" i="3"/>
  <c r="AR26" i="9" s="1"/>
  <c r="AP89" i="3"/>
  <c r="AQ88" i="3"/>
  <c r="BB30" i="9" s="1"/>
  <c r="AQ89" i="3"/>
  <c r="AQ90" i="3"/>
  <c r="BB26" i="9" s="1"/>
  <c r="AN88" i="3"/>
  <c r="AY30" i="9" s="1"/>
  <c r="X90" i="3"/>
  <c r="AI26" i="9" s="1"/>
  <c r="AJ89" i="3"/>
  <c r="Q90" i="3"/>
  <c r="AB26" i="9" s="1"/>
  <c r="Q89" i="3"/>
  <c r="J89" i="3"/>
  <c r="V88" i="3"/>
  <c r="R89" i="3"/>
  <c r="AC89" i="3"/>
  <c r="Y40" i="3"/>
  <c r="Y41" i="3" s="1"/>
  <c r="Y42" i="3" s="1"/>
  <c r="W127" i="3" s="1"/>
  <c r="AP90" i="3"/>
  <c r="BA26" i="9" s="1"/>
  <c r="G90" i="3"/>
  <c r="R26" i="9" s="1"/>
  <c r="AL90" i="3"/>
  <c r="AW26" i="9" s="1"/>
  <c r="AK89" i="3"/>
  <c r="AL89" i="3"/>
  <c r="AH88" i="3"/>
  <c r="AS30" i="9" s="1"/>
  <c r="G89" i="3"/>
  <c r="Z88" i="3"/>
  <c r="M90" i="3"/>
  <c r="X26" i="9" s="1"/>
  <c r="W90" i="3"/>
  <c r="AH26" i="9" s="1"/>
  <c r="M89" i="3"/>
  <c r="AH89" i="3"/>
  <c r="AL88" i="3"/>
  <c r="AW30" i="9" s="1"/>
  <c r="Z90" i="3"/>
  <c r="AK26" i="9" s="1"/>
  <c r="K88" i="3"/>
  <c r="M88" i="3"/>
  <c r="AH90" i="3"/>
  <c r="AS26" i="9" s="1"/>
  <c r="G88" i="3"/>
  <c r="Z89" i="3"/>
  <c r="AB89" i="3"/>
  <c r="AG40" i="3"/>
  <c r="AG41" i="3" s="1"/>
  <c r="AB111" i="3" s="1"/>
  <c r="AB115" i="3" s="1"/>
  <c r="AE90" i="3"/>
  <c r="AO89" i="3"/>
  <c r="I89" i="3"/>
  <c r="G40" i="3"/>
  <c r="G41" i="3" s="1"/>
  <c r="G69" i="3" s="1"/>
  <c r="AJ40" i="3"/>
  <c r="AJ41" i="3" s="1"/>
  <c r="AJ69" i="3" s="1"/>
  <c r="AO88" i="3"/>
  <c r="AZ30" i="9" s="1"/>
  <c r="AE88" i="3"/>
  <c r="AM40" i="3"/>
  <c r="AM41" i="3" s="1"/>
  <c r="AM69" i="3" s="1"/>
  <c r="Q40" i="3"/>
  <c r="Q41" i="3" s="1"/>
  <c r="Q69" i="3" s="1"/>
  <c r="M40" i="3"/>
  <c r="M41" i="3" s="1"/>
  <c r="M42" i="3" s="1"/>
  <c r="L127" i="3" s="1"/>
  <c r="F89" i="3"/>
  <c r="I88" i="3"/>
  <c r="T89" i="3"/>
  <c r="H40" i="3"/>
  <c r="H41" i="3" s="1"/>
  <c r="E111" i="3" s="1"/>
  <c r="E115" i="3" s="1"/>
  <c r="F40" i="3"/>
  <c r="F41" i="3" s="1"/>
  <c r="F42" i="3" s="1"/>
  <c r="E127" i="3" s="1"/>
  <c r="AA89" i="3"/>
  <c r="I90" i="3"/>
  <c r="T26" i="9" s="1"/>
  <c r="AO90" i="3"/>
  <c r="AZ26" i="9" s="1"/>
  <c r="AI88" i="3"/>
  <c r="AT30" i="9" s="1"/>
  <c r="AH40" i="3"/>
  <c r="AH41" i="3" s="1"/>
  <c r="AH42" i="3" s="1"/>
  <c r="AE127" i="3" s="1"/>
  <c r="AA40" i="3"/>
  <c r="AA41" i="3" s="1"/>
  <c r="W111" i="3" s="1"/>
  <c r="W115" i="3" s="1"/>
  <c r="AF40" i="3"/>
  <c r="AF41" i="3" s="1"/>
  <c r="AF70" i="3" s="1"/>
  <c r="AI40" i="3"/>
  <c r="AI41" i="3" s="1"/>
  <c r="AD111" i="3" s="1"/>
  <c r="AD115" i="3" s="1"/>
  <c r="W40" i="3"/>
  <c r="W41" i="3" s="1"/>
  <c r="S111" i="3" s="1"/>
  <c r="S115" i="3" s="1"/>
  <c r="H89" i="3"/>
  <c r="Q88" i="3"/>
  <c r="S90" i="3"/>
  <c r="AD26" i="9" s="1"/>
  <c r="Y88" i="3"/>
  <c r="N88" i="3"/>
  <c r="X40" i="3"/>
  <c r="X41" i="3" s="1"/>
  <c r="T111" i="3" s="1"/>
  <c r="T115" i="3" s="1"/>
  <c r="T40" i="3"/>
  <c r="T41" i="3" s="1"/>
  <c r="T70" i="3" s="1"/>
  <c r="I40" i="3"/>
  <c r="I41" i="3" s="1"/>
  <c r="I70" i="3" s="1"/>
  <c r="P40" i="3"/>
  <c r="P41" i="3" s="1"/>
  <c r="M111" i="3" s="1"/>
  <c r="M115" i="3" s="1"/>
  <c r="O40" i="3"/>
  <c r="O41" i="3" s="1"/>
  <c r="L111" i="3" s="1"/>
  <c r="L115" i="3" s="1"/>
  <c r="AK88" i="3"/>
  <c r="AV30" i="9" s="1"/>
  <c r="AM88" i="3"/>
  <c r="AX30" i="9" s="1"/>
  <c r="AF89" i="3"/>
  <c r="AM89" i="3"/>
  <c r="E18" i="9"/>
  <c r="AI89" i="3"/>
  <c r="AJ88" i="3"/>
  <c r="AU30" i="9" s="1"/>
  <c r="X88" i="3"/>
  <c r="S89" i="3"/>
  <c r="AM90" i="3"/>
  <c r="AX26" i="9" s="1"/>
  <c r="E36" i="9"/>
  <c r="O89" i="3"/>
  <c r="P89" i="3"/>
  <c r="AA88" i="3"/>
  <c r="L90" i="3"/>
  <c r="W26" i="9" s="1"/>
  <c r="O90" i="3"/>
  <c r="Z26" i="9" s="1"/>
  <c r="F90" i="3"/>
  <c r="Q26" i="9" s="1"/>
  <c r="P90" i="3"/>
  <c r="AA26" i="9" s="1"/>
  <c r="AA90" i="3"/>
  <c r="AL26" i="9" s="1"/>
  <c r="T90" i="3"/>
  <c r="AE26" i="9" s="1"/>
  <c r="D18" i="9"/>
  <c r="AK90" i="3"/>
  <c r="AV26" i="9" s="1"/>
  <c r="AI90" i="3"/>
  <c r="AT26" i="9" s="1"/>
  <c r="L88" i="3"/>
  <c r="O88" i="3"/>
  <c r="AJ90" i="3"/>
  <c r="AU26" i="9" s="1"/>
  <c r="AD88" i="3"/>
  <c r="F88" i="3"/>
  <c r="P88" i="3"/>
  <c r="AB30" i="9" s="1"/>
  <c r="X89" i="3"/>
  <c r="S88" i="3"/>
  <c r="T88" i="3"/>
  <c r="U90" i="3"/>
  <c r="AF26" i="9" s="1"/>
  <c r="K90" i="3"/>
  <c r="V26" i="9" s="1"/>
  <c r="AD89" i="3"/>
  <c r="AN90" i="3"/>
  <c r="AY26" i="9" s="1"/>
  <c r="AC88" i="3"/>
  <c r="U89" i="3"/>
  <c r="W89" i="3"/>
  <c r="Y90" i="3"/>
  <c r="AJ26" i="9" s="1"/>
  <c r="N89" i="3"/>
  <c r="AD90" i="3"/>
  <c r="AO26" i="9" s="1"/>
  <c r="AN40" i="3"/>
  <c r="AN41" i="3" s="1"/>
  <c r="AN70" i="3" s="1"/>
  <c r="R40" i="3"/>
  <c r="R41" i="3" s="1"/>
  <c r="R70" i="3" s="1"/>
  <c r="AO40" i="3"/>
  <c r="AO41" i="3" s="1"/>
  <c r="AJ111" i="3" s="1"/>
  <c r="AJ115" i="3" s="1"/>
  <c r="K40" i="3"/>
  <c r="K41" i="3" s="1"/>
  <c r="K70" i="3" s="1"/>
  <c r="AB40" i="3"/>
  <c r="AB41" i="3" s="1"/>
  <c r="AB42" i="3" s="1"/>
  <c r="AD40" i="3"/>
  <c r="AD41" i="3" s="1"/>
  <c r="AD42" i="3" s="1"/>
  <c r="AE40" i="3"/>
  <c r="AE41" i="3" s="1"/>
  <c r="AE42" i="3" s="1"/>
  <c r="L40" i="3"/>
  <c r="L41" i="3" s="1"/>
  <c r="L69" i="3" s="1"/>
  <c r="S40" i="3"/>
  <c r="S41" i="3" s="1"/>
  <c r="O111" i="3" s="1"/>
  <c r="O115" i="3" s="1"/>
  <c r="AB90" i="3"/>
  <c r="AM26" i="9" s="1"/>
  <c r="H88" i="3"/>
  <c r="AN89" i="3"/>
  <c r="AF90" i="3"/>
  <c r="AQ26" i="9" s="1"/>
  <c r="R88" i="3"/>
  <c r="D25" i="3"/>
  <c r="D22" i="3" s="1"/>
  <c r="V90" i="3"/>
  <c r="AG26" i="9" s="1"/>
  <c r="AC90" i="3"/>
  <c r="AN26" i="9" s="1"/>
  <c r="U88" i="3"/>
  <c r="J88" i="3"/>
  <c r="W88" i="3"/>
  <c r="Y89" i="3"/>
  <c r="L89" i="3"/>
  <c r="N90" i="3"/>
  <c r="Y26" i="9" s="1"/>
  <c r="K89" i="3"/>
  <c r="Z40" i="3"/>
  <c r="Z41" i="3" s="1"/>
  <c r="Z42" i="3" s="1"/>
  <c r="X127" i="3" s="1"/>
  <c r="V40" i="3"/>
  <c r="V41" i="3" s="1"/>
  <c r="V42" i="3" s="1"/>
  <c r="T127" i="3" s="1"/>
  <c r="J40" i="3"/>
  <c r="J41" i="3" s="1"/>
  <c r="J42" i="3" s="1"/>
  <c r="I127" i="3" s="1"/>
  <c r="AL40" i="3"/>
  <c r="AL41" i="3" s="1"/>
  <c r="AL69" i="3" s="1"/>
  <c r="AQ40" i="3"/>
  <c r="AQ41" i="3" s="1"/>
  <c r="AQ69" i="3" s="1"/>
  <c r="U40" i="3"/>
  <c r="U41" i="3" s="1"/>
  <c r="U69" i="3" s="1"/>
  <c r="AP40" i="3"/>
  <c r="AP41" i="3" s="1"/>
  <c r="AP70" i="3" s="1"/>
  <c r="AK40" i="3"/>
  <c r="AK41" i="3" s="1"/>
  <c r="AK70" i="3" s="1"/>
  <c r="AC40" i="3"/>
  <c r="AC41" i="3" s="1"/>
  <c r="AC70" i="3" s="1"/>
  <c r="AB88" i="3"/>
  <c r="H90" i="3"/>
  <c r="S26" i="9" s="1"/>
  <c r="AF88" i="3"/>
  <c r="AQ30" i="9" s="1"/>
  <c r="V89" i="3"/>
  <c r="J90" i="3"/>
  <c r="U26" i="9" s="1"/>
  <c r="AN27" i="3"/>
  <c r="AY39" i="9" s="1"/>
  <c r="C27" i="9"/>
  <c r="P27" i="9" s="1"/>
  <c r="E38" i="9"/>
  <c r="D28" i="9"/>
  <c r="E28" i="9"/>
  <c r="D25" i="9"/>
  <c r="E25" i="9"/>
  <c r="Q37" i="9"/>
  <c r="N70" i="3"/>
  <c r="N69" i="3"/>
  <c r="N42" i="3"/>
  <c r="M127" i="3" s="1"/>
  <c r="K111" i="3"/>
  <c r="K115" i="3" s="1"/>
  <c r="W126" i="3" l="1"/>
  <c r="L126" i="3"/>
  <c r="L125" i="3"/>
  <c r="W125" i="3"/>
  <c r="N127" i="3"/>
  <c r="D36" i="9"/>
  <c r="H36" i="9" s="1"/>
  <c r="AK7" i="9"/>
  <c r="AS7" i="9"/>
  <c r="U7" i="9"/>
  <c r="AJ7" i="9"/>
  <c r="Y7" i="9"/>
  <c r="AG7" i="9"/>
  <c r="X7" i="9"/>
  <c r="Q7" i="9"/>
  <c r="R41" i="9"/>
  <c r="U30" i="9"/>
  <c r="AJ30" i="9"/>
  <c r="Y37" i="9"/>
  <c r="D39" i="9"/>
  <c r="AC39" i="9" s="1"/>
  <c r="AE37" i="9"/>
  <c r="W37" i="9"/>
  <c r="V37" i="9"/>
  <c r="U37" i="9"/>
  <c r="AK27" i="3"/>
  <c r="AV39" i="9" s="1"/>
  <c r="AV37" i="9" s="1"/>
  <c r="AL27" i="3"/>
  <c r="AW39" i="9" s="1"/>
  <c r="V27" i="3"/>
  <c r="AG39" i="9" s="1"/>
  <c r="AG37" i="9" s="1"/>
  <c r="Y27" i="3"/>
  <c r="AJ39" i="9" s="1"/>
  <c r="AJ37" i="9" s="1"/>
  <c r="W27" i="3"/>
  <c r="AH39" i="9" s="1"/>
  <c r="X27" i="3"/>
  <c r="AI39" i="9" s="1"/>
  <c r="AG27" i="3"/>
  <c r="AR39" i="9" s="1"/>
  <c r="AF27" i="3"/>
  <c r="AQ39" i="9" s="1"/>
  <c r="AA27" i="3"/>
  <c r="AL39" i="9" s="1"/>
  <c r="AI27" i="3"/>
  <c r="AT39" i="9" s="1"/>
  <c r="AE27" i="3"/>
  <c r="AJ27" i="3"/>
  <c r="AU39" i="9" s="1"/>
  <c r="Z27" i="3"/>
  <c r="AK39" i="9" s="1"/>
  <c r="AK37" i="9" s="1"/>
  <c r="AH27" i="3"/>
  <c r="AS39" i="9" s="1"/>
  <c r="AM27" i="3"/>
  <c r="AX39" i="9" s="1"/>
  <c r="U27" i="3"/>
  <c r="AF39" i="9" s="1"/>
  <c r="AD37" i="9"/>
  <c r="X37" i="9"/>
  <c r="AN30" i="9"/>
  <c r="V30" i="9"/>
  <c r="S30" i="9"/>
  <c r="AI30" i="9"/>
  <c r="AG30" i="9"/>
  <c r="AM30" i="9"/>
  <c r="X30" i="9"/>
  <c r="AO30" i="9"/>
  <c r="T30" i="9"/>
  <c r="AL30" i="9"/>
  <c r="AK30" i="9"/>
  <c r="AH30" i="9"/>
  <c r="AD30" i="9"/>
  <c r="W30" i="9"/>
  <c r="Q30" i="9"/>
  <c r="Z30" i="9"/>
  <c r="AF30" i="9"/>
  <c r="AE30" i="9"/>
  <c r="Y30" i="9"/>
  <c r="R30" i="9"/>
  <c r="E10" i="9"/>
  <c r="Y69" i="3"/>
  <c r="D10" i="9"/>
  <c r="AP36" i="9"/>
  <c r="AC28" i="9"/>
  <c r="I28" i="9"/>
  <c r="AC25" i="9"/>
  <c r="I25" i="9"/>
  <c r="AY37" i="9"/>
  <c r="AC18" i="9"/>
  <c r="I18" i="9"/>
  <c r="AP25" i="9"/>
  <c r="H25" i="9"/>
  <c r="AP28" i="9"/>
  <c r="H28" i="9"/>
  <c r="AP38" i="9"/>
  <c r="AP18" i="9"/>
  <c r="H18" i="9"/>
  <c r="C37" i="9"/>
  <c r="C35" i="9" s="1"/>
  <c r="P35" i="9" s="1"/>
  <c r="P38" i="9"/>
  <c r="P41" i="9" s="1"/>
  <c r="Y70" i="3"/>
  <c r="AG70" i="3"/>
  <c r="K42" i="3"/>
  <c r="J127" i="3" s="1"/>
  <c r="I126" i="3" s="1"/>
  <c r="W42" i="3"/>
  <c r="U127" i="3" s="1"/>
  <c r="G42" i="3"/>
  <c r="F127" i="3" s="1"/>
  <c r="E125" i="3" s="1"/>
  <c r="I42" i="3"/>
  <c r="H127" i="3" s="1"/>
  <c r="H125" i="3" s="1"/>
  <c r="AH111" i="3"/>
  <c r="AH115" i="3" s="1"/>
  <c r="AL111" i="3"/>
  <c r="AL115" i="3" s="1"/>
  <c r="AC111" i="3"/>
  <c r="AC115" i="3" s="1"/>
  <c r="I69" i="3"/>
  <c r="T17" i="9" s="1"/>
  <c r="AC69" i="3"/>
  <c r="AN17" i="9" s="1"/>
  <c r="T69" i="3"/>
  <c r="AE17" i="9" s="1"/>
  <c r="W69" i="3"/>
  <c r="L42" i="3"/>
  <c r="K127" i="3" s="1"/>
  <c r="K126" i="3" s="1"/>
  <c r="AH69" i="3"/>
  <c r="M70" i="3"/>
  <c r="AG69" i="3"/>
  <c r="F111" i="3"/>
  <c r="F115" i="3" s="1"/>
  <c r="U111" i="3"/>
  <c r="U115" i="3" s="1"/>
  <c r="W70" i="3"/>
  <c r="Z70" i="3"/>
  <c r="AH70" i="3"/>
  <c r="AG42" i="3"/>
  <c r="AD127" i="3" s="1"/>
  <c r="AD126" i="3" s="1"/>
  <c r="AC42" i="3"/>
  <c r="S69" i="3"/>
  <c r="P111" i="3"/>
  <c r="P115" i="3" s="1"/>
  <c r="F69" i="3"/>
  <c r="AG111" i="3"/>
  <c r="AG115" i="3" s="1"/>
  <c r="AM42" i="3"/>
  <c r="AJ127" i="3" s="1"/>
  <c r="G70" i="3"/>
  <c r="R17" i="9" s="1"/>
  <c r="AM70" i="3"/>
  <c r="AX17" i="9" s="1"/>
  <c r="D111" i="3"/>
  <c r="D115" i="3" s="1"/>
  <c r="AI70" i="3"/>
  <c r="T42" i="3"/>
  <c r="R127" i="3" s="1"/>
  <c r="Q70" i="3"/>
  <c r="AB17" i="9" s="1"/>
  <c r="AF111" i="3"/>
  <c r="AF115" i="3" s="1"/>
  <c r="Z69" i="3"/>
  <c r="AI69" i="3"/>
  <c r="AO42" i="3"/>
  <c r="C89" i="3"/>
  <c r="AI42" i="3"/>
  <c r="AF127" i="3" s="1"/>
  <c r="AJ70" i="3"/>
  <c r="AU17" i="9" s="1"/>
  <c r="E26" i="9"/>
  <c r="D26" i="9"/>
  <c r="J111" i="3"/>
  <c r="J115" i="3" s="1"/>
  <c r="P42" i="3"/>
  <c r="AA42" i="3"/>
  <c r="Y127" i="3" s="1"/>
  <c r="M69" i="3"/>
  <c r="P70" i="3"/>
  <c r="AA69" i="3"/>
  <c r="AN69" i="3"/>
  <c r="AY17" i="9" s="1"/>
  <c r="X111" i="3"/>
  <c r="X115" i="3" s="1"/>
  <c r="H69" i="3"/>
  <c r="AB70" i="3"/>
  <c r="F70" i="3"/>
  <c r="C111" i="3"/>
  <c r="C115" i="3" s="1"/>
  <c r="H42" i="3"/>
  <c r="G127" i="3" s="1"/>
  <c r="X42" i="3"/>
  <c r="V127" i="3" s="1"/>
  <c r="V126" i="3" s="1"/>
  <c r="AJ42" i="3"/>
  <c r="AG127" i="3" s="1"/>
  <c r="J69" i="3"/>
  <c r="AF42" i="3"/>
  <c r="AC127" i="3" s="1"/>
  <c r="H70" i="3"/>
  <c r="AE111" i="3"/>
  <c r="AE115" i="3" s="1"/>
  <c r="N111" i="3"/>
  <c r="N115" i="3" s="1"/>
  <c r="O42" i="3"/>
  <c r="Q42" i="3"/>
  <c r="U70" i="3"/>
  <c r="AF17" i="9" s="1"/>
  <c r="AB41" i="9"/>
  <c r="AA30" i="9"/>
  <c r="X70" i="3"/>
  <c r="AQ42" i="3"/>
  <c r="AL112" i="3" s="1"/>
  <c r="V111" i="3"/>
  <c r="V115" i="3" s="1"/>
  <c r="AB69" i="3"/>
  <c r="O70" i="3"/>
  <c r="X69" i="3"/>
  <c r="AA111" i="3"/>
  <c r="AA115" i="3" s="1"/>
  <c r="R69" i="3"/>
  <c r="O69" i="3"/>
  <c r="P69" i="3"/>
  <c r="AA70" i="3"/>
  <c r="R111" i="3"/>
  <c r="R115" i="3" s="1"/>
  <c r="AF69" i="3"/>
  <c r="AQ17" i="9" s="1"/>
  <c r="S42" i="3"/>
  <c r="Q127" i="3" s="1"/>
  <c r="Q126" i="3" s="1"/>
  <c r="AD70" i="3"/>
  <c r="Y111" i="3"/>
  <c r="Y115" i="3" s="1"/>
  <c r="U42" i="3"/>
  <c r="S127" i="3" s="1"/>
  <c r="S126" i="3" s="1"/>
  <c r="AQ70" i="3"/>
  <c r="BB17" i="9" s="1"/>
  <c r="V69" i="3"/>
  <c r="AI111" i="3"/>
  <c r="AI115" i="3" s="1"/>
  <c r="S70" i="3"/>
  <c r="Z111" i="3"/>
  <c r="Z115" i="3" s="1"/>
  <c r="C90" i="3"/>
  <c r="AK111" i="3"/>
  <c r="AK115" i="3" s="1"/>
  <c r="AE70" i="3"/>
  <c r="AE69" i="3"/>
  <c r="AO69" i="3"/>
  <c r="AP69" i="3"/>
  <c r="BA17" i="9" s="1"/>
  <c r="J70" i="3"/>
  <c r="AP42" i="3"/>
  <c r="Q111" i="3"/>
  <c r="Q115" i="3" s="1"/>
  <c r="G111" i="3"/>
  <c r="G115" i="3" s="1"/>
  <c r="V70" i="3"/>
  <c r="AN42" i="3"/>
  <c r="AK127" i="3" s="1"/>
  <c r="AD69" i="3"/>
  <c r="AO70" i="3"/>
  <c r="C88" i="3"/>
  <c r="AL42" i="3"/>
  <c r="AI127" i="3" s="1"/>
  <c r="L70" i="3"/>
  <c r="W17" i="9" s="1"/>
  <c r="K69" i="3"/>
  <c r="V17" i="9" s="1"/>
  <c r="AK42" i="3"/>
  <c r="AH127" i="3" s="1"/>
  <c r="Y17" i="9"/>
  <c r="AK69" i="3"/>
  <c r="AV17" i="9" s="1"/>
  <c r="AL70" i="3"/>
  <c r="AW17" i="9" s="1"/>
  <c r="I111" i="3"/>
  <c r="I115" i="3" s="1"/>
  <c r="H111" i="3"/>
  <c r="H115" i="3" s="1"/>
  <c r="AE43" i="3"/>
  <c r="M43" i="3"/>
  <c r="J112" i="3"/>
  <c r="G112" i="3"/>
  <c r="J43" i="3"/>
  <c r="Z43" i="3"/>
  <c r="V112" i="3"/>
  <c r="AH43" i="3"/>
  <c r="AC112" i="3"/>
  <c r="Y43" i="3"/>
  <c r="U112" i="3"/>
  <c r="C112" i="3"/>
  <c r="F43" i="3"/>
  <c r="N43" i="3"/>
  <c r="K112" i="3"/>
  <c r="AD43" i="3"/>
  <c r="Z112" i="3"/>
  <c r="AB43" i="3"/>
  <c r="X112" i="3"/>
  <c r="V43" i="3"/>
  <c r="R112" i="3"/>
  <c r="G126" i="3" l="1"/>
  <c r="AC126" i="3"/>
  <c r="H126" i="3"/>
  <c r="AF126" i="3"/>
  <c r="AJ126" i="3"/>
  <c r="U126" i="3"/>
  <c r="T126" i="3"/>
  <c r="E126" i="3"/>
  <c r="E124" i="3" s="1"/>
  <c r="AG126" i="3"/>
  <c r="J126" i="3"/>
  <c r="I36" i="9"/>
  <c r="X126" i="3"/>
  <c r="F126" i="3"/>
  <c r="AI126" i="3"/>
  <c r="AH126" i="3"/>
  <c r="R126" i="3"/>
  <c r="M126" i="3"/>
  <c r="AE126" i="3"/>
  <c r="S125" i="3"/>
  <c r="V125" i="3"/>
  <c r="K125" i="3"/>
  <c r="AD125" i="3"/>
  <c r="T125" i="3"/>
  <c r="AF125" i="3"/>
  <c r="X125" i="3"/>
  <c r="AC125" i="3"/>
  <c r="I125" i="3"/>
  <c r="M125" i="3"/>
  <c r="G125" i="3"/>
  <c r="F125" i="3"/>
  <c r="AE125" i="3"/>
  <c r="AI125" i="3"/>
  <c r="AH125" i="3"/>
  <c r="AJ125" i="3"/>
  <c r="AG125" i="3"/>
  <c r="R125" i="3"/>
  <c r="U125" i="3"/>
  <c r="Q125" i="3"/>
  <c r="J125" i="3"/>
  <c r="AL127" i="3"/>
  <c r="AC36" i="9"/>
  <c r="O127" i="3"/>
  <c r="N126" i="3" s="1"/>
  <c r="Z127" i="3"/>
  <c r="Y126" i="3" s="1"/>
  <c r="AP43" i="3"/>
  <c r="AK119" i="3" s="1"/>
  <c r="AV7" i="9"/>
  <c r="AF7" i="9"/>
  <c r="N112" i="3"/>
  <c r="AI7" i="9"/>
  <c r="M112" i="3"/>
  <c r="AE7" i="9"/>
  <c r="W7" i="9"/>
  <c r="T7" i="9"/>
  <c r="O43" i="3"/>
  <c r="Z9" i="9" s="1"/>
  <c r="AQ7" i="9"/>
  <c r="S7" i="9"/>
  <c r="AT7" i="9"/>
  <c r="AX7" i="9"/>
  <c r="R7" i="9"/>
  <c r="Y112" i="3"/>
  <c r="AH7" i="9"/>
  <c r="AW7" i="9"/>
  <c r="AY7" i="9"/>
  <c r="AD7" i="9"/>
  <c r="AU7" i="9"/>
  <c r="AL7" i="9"/>
  <c r="AJ112" i="3"/>
  <c r="AR7" i="9"/>
  <c r="V7" i="9"/>
  <c r="AP41" i="9"/>
  <c r="AP26" i="9"/>
  <c r="AC26" i="9"/>
  <c r="AS37" i="9"/>
  <c r="AX37" i="9"/>
  <c r="AR37" i="9"/>
  <c r="AH37" i="9"/>
  <c r="AL37" i="9"/>
  <c r="AW37" i="9"/>
  <c r="AT37" i="9"/>
  <c r="E39" i="9"/>
  <c r="I39" i="9" s="1"/>
  <c r="AQ37" i="9"/>
  <c r="AF37" i="9"/>
  <c r="AU37" i="9"/>
  <c r="AI37" i="9"/>
  <c r="Z17" i="9"/>
  <c r="AK17" i="9"/>
  <c r="E30" i="9"/>
  <c r="P37" i="9"/>
  <c r="AJ17" i="9"/>
  <c r="AP10" i="9"/>
  <c r="H10" i="9"/>
  <c r="L43" i="3"/>
  <c r="I119" i="3" s="1"/>
  <c r="AO17" i="9"/>
  <c r="AC10" i="9"/>
  <c r="F112" i="3"/>
  <c r="I10" i="9"/>
  <c r="AI43" i="3"/>
  <c r="AT9" i="9" s="1"/>
  <c r="L112" i="3"/>
  <c r="I112" i="3"/>
  <c r="AA112" i="3"/>
  <c r="S17" i="9"/>
  <c r="E112" i="3"/>
  <c r="I43" i="3"/>
  <c r="T9" i="9" s="1"/>
  <c r="AO9" i="9"/>
  <c r="Z119" i="3"/>
  <c r="X9" i="9"/>
  <c r="J119" i="3"/>
  <c r="Q9" i="9"/>
  <c r="C119" i="3"/>
  <c r="U9" i="9"/>
  <c r="G119" i="3"/>
  <c r="AM9" i="9"/>
  <c r="X119" i="3"/>
  <c r="D30" i="9"/>
  <c r="AG9" i="9"/>
  <c r="R119" i="3"/>
  <c r="AK9" i="9"/>
  <c r="V119" i="3"/>
  <c r="AF75" i="3"/>
  <c r="AF76" i="3" s="1"/>
  <c r="Y9" i="9"/>
  <c r="K119" i="3"/>
  <c r="AJ9" i="9"/>
  <c r="U119" i="3"/>
  <c r="AS9" i="9"/>
  <c r="AC119" i="3"/>
  <c r="AB37" i="9"/>
  <c r="I26" i="9"/>
  <c r="H26" i="9"/>
  <c r="P112" i="3"/>
  <c r="H112" i="3"/>
  <c r="AR17" i="9"/>
  <c r="K43" i="3"/>
  <c r="AB112" i="3"/>
  <c r="AN43" i="3"/>
  <c r="S112" i="3"/>
  <c r="X17" i="9"/>
  <c r="AH17" i="9"/>
  <c r="AC43" i="3"/>
  <c r="D112" i="3"/>
  <c r="W43" i="3"/>
  <c r="G43" i="3"/>
  <c r="AI112" i="3"/>
  <c r="AH112" i="3"/>
  <c r="AD17" i="9"/>
  <c r="AS17" i="9"/>
  <c r="Q112" i="3"/>
  <c r="AF43" i="3"/>
  <c r="AT17" i="9"/>
  <c r="AD112" i="3"/>
  <c r="H43" i="3"/>
  <c r="T43" i="3"/>
  <c r="AG43" i="3"/>
  <c r="AA17" i="9"/>
  <c r="Q17" i="9"/>
  <c r="AQ43" i="3"/>
  <c r="D38" i="9"/>
  <c r="AG17" i="9"/>
  <c r="U17" i="9"/>
  <c r="AL17" i="9"/>
  <c r="AM43" i="3"/>
  <c r="AK112" i="3"/>
  <c r="AA43" i="3"/>
  <c r="AO43" i="3"/>
  <c r="P43" i="3"/>
  <c r="AM17" i="9"/>
  <c r="T112" i="3"/>
  <c r="AJ43" i="3"/>
  <c r="AE112" i="3"/>
  <c r="W112" i="3"/>
  <c r="U43" i="3"/>
  <c r="AI17" i="9"/>
  <c r="X43" i="3"/>
  <c r="AE16" i="9"/>
  <c r="T75" i="3"/>
  <c r="AF16" i="9"/>
  <c r="U75" i="3"/>
  <c r="AV16" i="9"/>
  <c r="AK75" i="3"/>
  <c r="AB16" i="9"/>
  <c r="Q75" i="3"/>
  <c r="AW16" i="9"/>
  <c r="AL75" i="3"/>
  <c r="Q43" i="3"/>
  <c r="T16" i="9"/>
  <c r="I75" i="3"/>
  <c r="W16" i="9"/>
  <c r="L75" i="3"/>
  <c r="AN16" i="9"/>
  <c r="AC75" i="3"/>
  <c r="Y16" i="9"/>
  <c r="N75" i="3"/>
  <c r="V16" i="9"/>
  <c r="K75" i="3"/>
  <c r="AU16" i="9"/>
  <c r="AJ75" i="3"/>
  <c r="AY16" i="9"/>
  <c r="AN75" i="3"/>
  <c r="R16" i="9"/>
  <c r="G75" i="3"/>
  <c r="BB16" i="9"/>
  <c r="AQ75" i="3"/>
  <c r="AX16" i="9"/>
  <c r="AM75" i="3"/>
  <c r="C91" i="3"/>
  <c r="AZ17" i="9"/>
  <c r="BA16" i="9"/>
  <c r="AP75" i="3"/>
  <c r="S43" i="3"/>
  <c r="AK43" i="3"/>
  <c r="O112" i="3"/>
  <c r="AF112" i="3"/>
  <c r="AG112" i="3"/>
  <c r="AL43" i="3"/>
  <c r="AQ16" i="9"/>
  <c r="F124" i="3" l="1"/>
  <c r="G124" i="3" s="1"/>
  <c r="H124" i="3" s="1"/>
  <c r="I124" i="3" s="1"/>
  <c r="J124" i="3" s="1"/>
  <c r="K124" i="3" s="1"/>
  <c r="L124" i="3" s="1"/>
  <c r="M124" i="3" s="1"/>
  <c r="N124" i="3" s="1"/>
  <c r="AK126" i="3"/>
  <c r="D7" i="9"/>
  <c r="AC7" i="9" s="1"/>
  <c r="E7" i="9"/>
  <c r="Y125" i="3"/>
  <c r="AK125" i="3"/>
  <c r="BA9" i="9"/>
  <c r="N125" i="3"/>
  <c r="P127" i="3"/>
  <c r="P126" i="3" s="1"/>
  <c r="AM127" i="3"/>
  <c r="F7" i="9"/>
  <c r="AA127" i="3"/>
  <c r="L119" i="3"/>
  <c r="Y75" i="3"/>
  <c r="Y80" i="3" s="1"/>
  <c r="AJ24" i="9" s="1"/>
  <c r="AP39" i="9"/>
  <c r="O75" i="3"/>
  <c r="O80" i="3" s="1"/>
  <c r="Z24" i="9" s="1"/>
  <c r="Z75" i="3"/>
  <c r="Z76" i="3" s="1"/>
  <c r="E37" i="9"/>
  <c r="E35" i="9" s="1"/>
  <c r="H39" i="9"/>
  <c r="Z16" i="9"/>
  <c r="AK16" i="9"/>
  <c r="W9" i="9"/>
  <c r="W8" i="9" s="1"/>
  <c r="AP30" i="9"/>
  <c r="AJ16" i="9"/>
  <c r="H75" i="3"/>
  <c r="H79" i="3" s="1"/>
  <c r="S23" i="9" s="1"/>
  <c r="AD75" i="3"/>
  <c r="AD77" i="3" s="1"/>
  <c r="AO21" i="9" s="1"/>
  <c r="AF79" i="3"/>
  <c r="AQ23" i="9" s="1"/>
  <c r="AD119" i="3"/>
  <c r="S16" i="9"/>
  <c r="AO16" i="9"/>
  <c r="F119" i="3"/>
  <c r="AF80" i="3"/>
  <c r="AQ24" i="9" s="1"/>
  <c r="Q8" i="9"/>
  <c r="F66" i="3" s="1"/>
  <c r="Q29" i="9" s="1"/>
  <c r="AF78" i="3"/>
  <c r="AQ22" i="9" s="1"/>
  <c r="AA9" i="9"/>
  <c r="M119" i="3"/>
  <c r="AG16" i="9"/>
  <c r="AV9" i="9"/>
  <c r="AF119" i="3"/>
  <c r="AB9" i="9"/>
  <c r="N119" i="3"/>
  <c r="AI9" i="9"/>
  <c r="T119" i="3"/>
  <c r="AU9" i="9"/>
  <c r="AE119" i="3"/>
  <c r="AZ9" i="9"/>
  <c r="AJ119" i="3"/>
  <c r="AX9" i="9"/>
  <c r="AH119" i="3"/>
  <c r="D37" i="9"/>
  <c r="D35" i="9" s="1"/>
  <c r="AC38" i="9"/>
  <c r="AC41" i="9" s="1"/>
  <c r="I38" i="9"/>
  <c r="H38" i="9"/>
  <c r="AR9" i="9"/>
  <c r="AB119" i="3"/>
  <c r="AI75" i="3"/>
  <c r="AI77" i="3" s="1"/>
  <c r="AT21" i="9" s="1"/>
  <c r="S75" i="3"/>
  <c r="S78" i="3" s="1"/>
  <c r="AD22" i="9" s="1"/>
  <c r="AH9" i="9"/>
  <c r="S119" i="3"/>
  <c r="AH16" i="9"/>
  <c r="AJ8" i="9"/>
  <c r="AM8" i="9"/>
  <c r="AD9" i="9"/>
  <c r="O119" i="3"/>
  <c r="AF77" i="3"/>
  <c r="AQ21" i="9" s="1"/>
  <c r="AI16" i="9"/>
  <c r="AL9" i="9"/>
  <c r="W119" i="3"/>
  <c r="AL16" i="9"/>
  <c r="BB9" i="9"/>
  <c r="AL119" i="3"/>
  <c r="AE9" i="9"/>
  <c r="P119" i="3"/>
  <c r="AQ9" i="9"/>
  <c r="AA119" i="3"/>
  <c r="X16" i="9"/>
  <c r="V9" i="9"/>
  <c r="H119" i="3"/>
  <c r="BA8" i="9"/>
  <c r="AG8" i="9"/>
  <c r="AC30" i="9"/>
  <c r="I30" i="9"/>
  <c r="H30" i="9"/>
  <c r="X8" i="9"/>
  <c r="AW9" i="9"/>
  <c r="AG119" i="3"/>
  <c r="AF9" i="9"/>
  <c r="Q119" i="3"/>
  <c r="AM16" i="9"/>
  <c r="J75" i="3"/>
  <c r="J80" i="3" s="1"/>
  <c r="U24" i="9" s="1"/>
  <c r="F75" i="3"/>
  <c r="F77" i="3" s="1"/>
  <c r="Q21" i="9" s="1"/>
  <c r="S9" i="9"/>
  <c r="E119" i="3"/>
  <c r="AN9" i="9"/>
  <c r="Y119" i="3"/>
  <c r="AG75" i="3"/>
  <c r="AG77" i="3" s="1"/>
  <c r="AR21" i="9" s="1"/>
  <c r="AS8" i="9"/>
  <c r="Y8" i="9"/>
  <c r="T8" i="9"/>
  <c r="U8" i="9"/>
  <c r="J57" i="3" s="1"/>
  <c r="U31" i="9" s="1"/>
  <c r="AT8" i="9"/>
  <c r="AA16" i="9"/>
  <c r="AS16" i="9"/>
  <c r="R9" i="9"/>
  <c r="D119" i="3"/>
  <c r="AY9" i="9"/>
  <c r="AI119" i="3"/>
  <c r="AK8" i="9"/>
  <c r="Z8" i="9"/>
  <c r="AO8" i="9"/>
  <c r="AR16" i="9"/>
  <c r="AA75" i="3"/>
  <c r="AA78" i="3" s="1"/>
  <c r="AL22" i="9" s="1"/>
  <c r="M75" i="3"/>
  <c r="M80" i="3" s="1"/>
  <c r="X24" i="9" s="1"/>
  <c r="Q16" i="9"/>
  <c r="AH75" i="3"/>
  <c r="AH78" i="3" s="1"/>
  <c r="AS22" i="9" s="1"/>
  <c r="W75" i="3"/>
  <c r="W80" i="3" s="1"/>
  <c r="AH24" i="9" s="1"/>
  <c r="AD16" i="9"/>
  <c r="X75" i="3"/>
  <c r="X80" i="3" s="1"/>
  <c r="AI24" i="9" s="1"/>
  <c r="AT16" i="9"/>
  <c r="AB75" i="3"/>
  <c r="AB80" i="3" s="1"/>
  <c r="AM24" i="9" s="1"/>
  <c r="P75" i="3"/>
  <c r="P78" i="3" s="1"/>
  <c r="AA22" i="9" s="1"/>
  <c r="V75" i="3"/>
  <c r="V77" i="3" s="1"/>
  <c r="AG21" i="9" s="1"/>
  <c r="D17" i="9"/>
  <c r="U16" i="9"/>
  <c r="E17" i="9"/>
  <c r="AZ16" i="9"/>
  <c r="AO75" i="3"/>
  <c r="G79" i="3"/>
  <c r="R23" i="9" s="1"/>
  <c r="G78" i="3"/>
  <c r="R22" i="9" s="1"/>
  <c r="G77" i="3"/>
  <c r="R21" i="9" s="1"/>
  <c r="G80" i="3"/>
  <c r="R24" i="9" s="1"/>
  <c r="G76" i="3"/>
  <c r="AN79" i="3"/>
  <c r="AY23" i="9" s="1"/>
  <c r="AN80" i="3"/>
  <c r="AY24" i="9" s="1"/>
  <c r="AN77" i="3"/>
  <c r="AY21" i="9" s="1"/>
  <c r="AN78" i="3"/>
  <c r="AY22" i="9" s="1"/>
  <c r="AN76" i="3"/>
  <c r="AL80" i="3"/>
  <c r="AW24" i="9" s="1"/>
  <c r="AL79" i="3"/>
  <c r="AW23" i="9" s="1"/>
  <c r="AL76" i="3"/>
  <c r="AL77" i="3"/>
  <c r="AW21" i="9" s="1"/>
  <c r="AL78" i="3"/>
  <c r="AW22" i="9" s="1"/>
  <c r="L80" i="3"/>
  <c r="W24" i="9" s="1"/>
  <c r="L76" i="3"/>
  <c r="L79" i="3"/>
  <c r="W23" i="9" s="1"/>
  <c r="L77" i="3"/>
  <c r="W21" i="9" s="1"/>
  <c r="L78" i="3"/>
  <c r="W22" i="9" s="1"/>
  <c r="Q77" i="3"/>
  <c r="AB21" i="9" s="1"/>
  <c r="Q78" i="3"/>
  <c r="AB22" i="9" s="1"/>
  <c r="Q76" i="3"/>
  <c r="Q80" i="3"/>
  <c r="AB24" i="9" s="1"/>
  <c r="Q79" i="3"/>
  <c r="AB23" i="9" s="1"/>
  <c r="AC77" i="3"/>
  <c r="AN21" i="9" s="1"/>
  <c r="AC80" i="3"/>
  <c r="AN24" i="9" s="1"/>
  <c r="AC78" i="3"/>
  <c r="AN22" i="9" s="1"/>
  <c r="AC79" i="3"/>
  <c r="AC76" i="3"/>
  <c r="I79" i="3"/>
  <c r="T23" i="9" s="1"/>
  <c r="I80" i="3"/>
  <c r="T24" i="9" s="1"/>
  <c r="I77" i="3"/>
  <c r="T21" i="9" s="1"/>
  <c r="I78" i="3"/>
  <c r="T22" i="9" s="1"/>
  <c r="I76" i="3"/>
  <c r="AK79" i="3"/>
  <c r="AV23" i="9" s="1"/>
  <c r="AK76" i="3"/>
  <c r="AK80" i="3"/>
  <c r="AV24" i="9" s="1"/>
  <c r="AK77" i="3"/>
  <c r="AV21" i="9" s="1"/>
  <c r="AK78" i="3"/>
  <c r="AV22" i="9" s="1"/>
  <c r="T76" i="3"/>
  <c r="T80" i="3"/>
  <c r="AE24" i="9" s="1"/>
  <c r="T79" i="3"/>
  <c r="AE23" i="9" s="1"/>
  <c r="T77" i="3"/>
  <c r="AE21" i="9" s="1"/>
  <c r="T78" i="3"/>
  <c r="AE22" i="9" s="1"/>
  <c r="K79" i="3"/>
  <c r="V23" i="9" s="1"/>
  <c r="K78" i="3"/>
  <c r="V22" i="9" s="1"/>
  <c r="K76" i="3"/>
  <c r="K80" i="3"/>
  <c r="V24" i="9" s="1"/>
  <c r="K77" i="3"/>
  <c r="V21" i="9" s="1"/>
  <c r="N77" i="3"/>
  <c r="Y21" i="9" s="1"/>
  <c r="N76" i="3"/>
  <c r="N80" i="3"/>
  <c r="Y24" i="9" s="1"/>
  <c r="N79" i="3"/>
  <c r="Y23" i="9" s="1"/>
  <c r="N78" i="3"/>
  <c r="Y22" i="9" s="1"/>
  <c r="U80" i="3"/>
  <c r="AF24" i="9" s="1"/>
  <c r="U79" i="3"/>
  <c r="AF23" i="9" s="1"/>
  <c r="U78" i="3"/>
  <c r="AF22" i="9" s="1"/>
  <c r="U76" i="3"/>
  <c r="U77" i="3"/>
  <c r="AF21" i="9" s="1"/>
  <c r="AP79" i="3"/>
  <c r="BA23" i="9" s="1"/>
  <c r="AP77" i="3"/>
  <c r="BA21" i="9" s="1"/>
  <c r="AP76" i="3"/>
  <c r="AP78" i="3"/>
  <c r="BA22" i="9" s="1"/>
  <c r="AP80" i="3"/>
  <c r="BA24" i="9" s="1"/>
  <c r="AM79" i="3"/>
  <c r="AX23" i="9" s="1"/>
  <c r="AM76" i="3"/>
  <c r="AM80" i="3"/>
  <c r="AX24" i="9" s="1"/>
  <c r="AM78" i="3"/>
  <c r="AX22" i="9" s="1"/>
  <c r="AM77" i="3"/>
  <c r="AX21" i="9" s="1"/>
  <c r="AQ76" i="3"/>
  <c r="AQ80" i="3"/>
  <c r="BB24" i="9" s="1"/>
  <c r="AQ79" i="3"/>
  <c r="BB23" i="9" s="1"/>
  <c r="AQ78" i="3"/>
  <c r="BB22" i="9" s="1"/>
  <c r="AQ77" i="3"/>
  <c r="BB21" i="9" s="1"/>
  <c r="AJ80" i="3"/>
  <c r="AU24" i="9" s="1"/>
  <c r="AJ79" i="3"/>
  <c r="AU23" i="9" s="1"/>
  <c r="AJ77" i="3"/>
  <c r="AU21" i="9" s="1"/>
  <c r="AJ78" i="3"/>
  <c r="AU22" i="9" s="1"/>
  <c r="AJ76" i="3"/>
  <c r="AQ20" i="9"/>
  <c r="H7" i="9" l="1"/>
  <c r="I7" i="9"/>
  <c r="AP7" i="9"/>
  <c r="J7" i="9"/>
  <c r="O126" i="3"/>
  <c r="O124" i="3" s="1"/>
  <c r="Z126" i="3"/>
  <c r="AL126" i="3"/>
  <c r="AL125" i="3"/>
  <c r="K7" i="9"/>
  <c r="O125" i="3"/>
  <c r="P125" i="3"/>
  <c r="Z125" i="3"/>
  <c r="AN127" i="3"/>
  <c r="Y78" i="3"/>
  <c r="AJ22" i="9" s="1"/>
  <c r="AB127" i="3"/>
  <c r="AB126" i="3" s="1"/>
  <c r="Y77" i="3"/>
  <c r="AJ21" i="9" s="1"/>
  <c r="I35" i="9"/>
  <c r="BC7" i="9"/>
  <c r="G7" i="9"/>
  <c r="H35" i="9"/>
  <c r="Z80" i="3"/>
  <c r="AK24" i="9" s="1"/>
  <c r="Y76" i="3"/>
  <c r="AJ20" i="9" s="1"/>
  <c r="Y79" i="3"/>
  <c r="AJ23" i="9" s="1"/>
  <c r="O76" i="3"/>
  <c r="Z20" i="9" s="1"/>
  <c r="O79" i="3"/>
  <c r="Z23" i="9" s="1"/>
  <c r="O78" i="3"/>
  <c r="Z22" i="9" s="1"/>
  <c r="Z79" i="3"/>
  <c r="AK23" i="9" s="1"/>
  <c r="O77" i="3"/>
  <c r="Z21" i="9" s="1"/>
  <c r="Z77" i="3"/>
  <c r="AK21" i="9" s="1"/>
  <c r="Z78" i="3"/>
  <c r="AK22" i="9" s="1"/>
  <c r="AP37" i="9"/>
  <c r="H37" i="9"/>
  <c r="H76" i="3"/>
  <c r="S20" i="9" s="1"/>
  <c r="AD79" i="3"/>
  <c r="AO23" i="9" s="1"/>
  <c r="H77" i="3"/>
  <c r="S21" i="9" s="1"/>
  <c r="H80" i="3"/>
  <c r="S24" i="9" s="1"/>
  <c r="H78" i="3"/>
  <c r="S22" i="9" s="1"/>
  <c r="AD78" i="3"/>
  <c r="AO22" i="9" s="1"/>
  <c r="AD76" i="3"/>
  <c r="AO20" i="9" s="1"/>
  <c r="AD80" i="3"/>
  <c r="AO24" i="9" s="1"/>
  <c r="F57" i="3"/>
  <c r="Q31" i="9" s="1"/>
  <c r="F76" i="3"/>
  <c r="Q20" i="9" s="1"/>
  <c r="AG78" i="3"/>
  <c r="AR22" i="9" s="1"/>
  <c r="AG79" i="3"/>
  <c r="AR23" i="9" s="1"/>
  <c r="J78" i="3"/>
  <c r="U22" i="9" s="1"/>
  <c r="S77" i="3"/>
  <c r="AD21" i="9" s="1"/>
  <c r="AF81" i="3"/>
  <c r="J76" i="3"/>
  <c r="U20" i="9" s="1"/>
  <c r="AG76" i="3"/>
  <c r="AG80" i="3"/>
  <c r="AR24" i="9" s="1"/>
  <c r="J79" i="3"/>
  <c r="U23" i="9" s="1"/>
  <c r="S80" i="3"/>
  <c r="AD24" i="9" s="1"/>
  <c r="J77" i="3"/>
  <c r="U21" i="9" s="1"/>
  <c r="S79" i="3"/>
  <c r="AD23" i="9" s="1"/>
  <c r="F78" i="3"/>
  <c r="Q22" i="9" s="1"/>
  <c r="AI76" i="3"/>
  <c r="AT20" i="9" s="1"/>
  <c r="F79" i="3"/>
  <c r="Q23" i="9" s="1"/>
  <c r="AI80" i="3"/>
  <c r="AT24" i="9" s="1"/>
  <c r="F80" i="3"/>
  <c r="Q24" i="9" s="1"/>
  <c r="AI79" i="3"/>
  <c r="AT23" i="9" s="1"/>
  <c r="AI78" i="3"/>
  <c r="AT22" i="9" s="1"/>
  <c r="AA79" i="3"/>
  <c r="AL23" i="9" s="1"/>
  <c r="S76" i="3"/>
  <c r="AD20" i="9" s="1"/>
  <c r="E16" i="9"/>
  <c r="AP17" i="9"/>
  <c r="H17" i="9"/>
  <c r="V57" i="3"/>
  <c r="AG31" i="9" s="1"/>
  <c r="V66" i="3"/>
  <c r="AG29" i="9" s="1"/>
  <c r="V8" i="9"/>
  <c r="AQ8" i="9"/>
  <c r="AL8" i="9"/>
  <c r="W77" i="3"/>
  <c r="AH21" i="9" s="1"/>
  <c r="AA76" i="3"/>
  <c r="AL20" i="9" s="1"/>
  <c r="D9" i="9"/>
  <c r="O57" i="3"/>
  <c r="Z31" i="9" s="1"/>
  <c r="O66" i="3"/>
  <c r="Z29" i="9" s="1"/>
  <c r="AY8" i="9"/>
  <c r="R8" i="9"/>
  <c r="AI57" i="3"/>
  <c r="AT31" i="9" s="1"/>
  <c r="AI66" i="3"/>
  <c r="AT29" i="9" s="1"/>
  <c r="I57" i="3"/>
  <c r="T31" i="9" s="1"/>
  <c r="I66" i="3"/>
  <c r="T29" i="9" s="1"/>
  <c r="AH57" i="3"/>
  <c r="AS31" i="9" s="1"/>
  <c r="AH66" i="3"/>
  <c r="AS29" i="9" s="1"/>
  <c r="AN8" i="9"/>
  <c r="AW8" i="9"/>
  <c r="AD8" i="9"/>
  <c r="AB57" i="3"/>
  <c r="AM31" i="9" s="1"/>
  <c r="AB66" i="3"/>
  <c r="AM29" i="9" s="1"/>
  <c r="Y57" i="3"/>
  <c r="AJ31" i="9" s="1"/>
  <c r="Y66" i="3"/>
  <c r="AJ29" i="9" s="1"/>
  <c r="AH8" i="9"/>
  <c r="AX8" i="9"/>
  <c r="AU8" i="9"/>
  <c r="AB8" i="9"/>
  <c r="AA8" i="9"/>
  <c r="W76" i="3"/>
  <c r="AH20" i="9" s="1"/>
  <c r="AA80" i="3"/>
  <c r="AL24" i="9" s="1"/>
  <c r="E9" i="9"/>
  <c r="AP57" i="3"/>
  <c r="BA31" i="9" s="1"/>
  <c r="AP66" i="3"/>
  <c r="BA29" i="9" s="1"/>
  <c r="AE8" i="9"/>
  <c r="BB8" i="9"/>
  <c r="AA77" i="3"/>
  <c r="AL21" i="9" s="1"/>
  <c r="D16" i="9"/>
  <c r="AC17" i="9"/>
  <c r="I17" i="9"/>
  <c r="AD57" i="3"/>
  <c r="AO31" i="9" s="1"/>
  <c r="AD66" i="3"/>
  <c r="AO29" i="9" s="1"/>
  <c r="Z57" i="3"/>
  <c r="AK31" i="9" s="1"/>
  <c r="Z66" i="3"/>
  <c r="AK29" i="9" s="1"/>
  <c r="J66" i="3"/>
  <c r="U29" i="9" s="1"/>
  <c r="N57" i="3"/>
  <c r="Y31" i="9" s="1"/>
  <c r="N66" i="3"/>
  <c r="Y29" i="9" s="1"/>
  <c r="S8" i="9"/>
  <c r="AF8" i="9"/>
  <c r="M57" i="3"/>
  <c r="X31" i="9" s="1"/>
  <c r="M66" i="3"/>
  <c r="X29" i="9" s="1"/>
  <c r="L57" i="3"/>
  <c r="W31" i="9" s="1"/>
  <c r="L66" i="3"/>
  <c r="W29" i="9" s="1"/>
  <c r="AR8" i="9"/>
  <c r="AC37" i="9"/>
  <c r="I37" i="9"/>
  <c r="AZ8" i="9"/>
  <c r="AI8" i="9"/>
  <c r="X57" i="3" s="1"/>
  <c r="AI31" i="9" s="1"/>
  <c r="AV8" i="9"/>
  <c r="X77" i="3"/>
  <c r="AI21" i="9" s="1"/>
  <c r="M77" i="3"/>
  <c r="X21" i="9" s="1"/>
  <c r="AH77" i="3"/>
  <c r="AS21" i="9" s="1"/>
  <c r="M76" i="3"/>
  <c r="AH79" i="3"/>
  <c r="AS23" i="9" s="1"/>
  <c r="M78" i="3"/>
  <c r="X22" i="9" s="1"/>
  <c r="AH80" i="3"/>
  <c r="AS24" i="9" s="1"/>
  <c r="AH76" i="3"/>
  <c r="AS20" i="9" s="1"/>
  <c r="M79" i="3"/>
  <c r="X23" i="9" s="1"/>
  <c r="W79" i="3"/>
  <c r="AH23" i="9" s="1"/>
  <c r="W78" i="3"/>
  <c r="AH22" i="9" s="1"/>
  <c r="X79" i="3"/>
  <c r="AI23" i="9" s="1"/>
  <c r="X78" i="3"/>
  <c r="AI22" i="9" s="1"/>
  <c r="X76" i="3"/>
  <c r="AI20" i="9" s="1"/>
  <c r="AB78" i="3"/>
  <c r="AM22" i="9" s="1"/>
  <c r="AB79" i="3"/>
  <c r="AM23" i="9" s="1"/>
  <c r="AB77" i="3"/>
  <c r="AM21" i="9" s="1"/>
  <c r="AB76" i="3"/>
  <c r="AM20" i="9" s="1"/>
  <c r="P76" i="3"/>
  <c r="AA20" i="9" s="1"/>
  <c r="V80" i="3"/>
  <c r="AG24" i="9" s="1"/>
  <c r="P79" i="3"/>
  <c r="AA23" i="9" s="1"/>
  <c r="V79" i="3"/>
  <c r="AG23" i="9" s="1"/>
  <c r="V78" i="3"/>
  <c r="AG22" i="9" s="1"/>
  <c r="P77" i="3"/>
  <c r="AA21" i="9" s="1"/>
  <c r="V76" i="3"/>
  <c r="AG20" i="9" s="1"/>
  <c r="P80" i="3"/>
  <c r="AA24" i="9" s="1"/>
  <c r="R75" i="3"/>
  <c r="R80" i="3" s="1"/>
  <c r="AQ19" i="9"/>
  <c r="AX20" i="9"/>
  <c r="AM81" i="3"/>
  <c r="U81" i="3"/>
  <c r="AF20" i="9"/>
  <c r="N81" i="3"/>
  <c r="Y20" i="9"/>
  <c r="K81" i="3"/>
  <c r="V20" i="9"/>
  <c r="AN23" i="9"/>
  <c r="Q81" i="3"/>
  <c r="AB20" i="9"/>
  <c r="AQ81" i="3"/>
  <c r="BB20" i="9"/>
  <c r="BA20" i="9"/>
  <c r="AP81" i="3"/>
  <c r="T20" i="9"/>
  <c r="I81" i="3"/>
  <c r="AK20" i="9"/>
  <c r="R20" i="9"/>
  <c r="G81" i="3"/>
  <c r="AU20" i="9"/>
  <c r="AJ81" i="3"/>
  <c r="T81" i="3"/>
  <c r="AE20" i="9"/>
  <c r="AK81" i="3"/>
  <c r="AV20" i="9"/>
  <c r="AN20" i="9"/>
  <c r="AC81" i="3"/>
  <c r="W20" i="9"/>
  <c r="L81" i="3"/>
  <c r="AW20" i="9"/>
  <c r="AL81" i="3"/>
  <c r="AY20" i="9"/>
  <c r="AN81" i="3"/>
  <c r="AO79" i="3"/>
  <c r="AZ23" i="9" s="1"/>
  <c r="AO80" i="3"/>
  <c r="AZ24" i="9" s="1"/>
  <c r="AO76" i="3"/>
  <c r="AO77" i="3"/>
  <c r="AZ21" i="9" s="1"/>
  <c r="AO78" i="3"/>
  <c r="AZ22" i="9" s="1"/>
  <c r="Q27" i="9"/>
  <c r="P124" i="3" l="1"/>
  <c r="Q124" i="3" s="1"/>
  <c r="R124" i="3" s="1"/>
  <c r="S124" i="3" s="1"/>
  <c r="T124" i="3" s="1"/>
  <c r="U124" i="3" s="1"/>
  <c r="V124" i="3" s="1"/>
  <c r="W124" i="3" s="1"/>
  <c r="X124" i="3" s="1"/>
  <c r="Y124" i="3" s="1"/>
  <c r="Z124" i="3" s="1"/>
  <c r="AA126" i="3"/>
  <c r="AM126" i="3"/>
  <c r="AA125" i="3"/>
  <c r="AB125" i="3"/>
  <c r="AO127" i="3"/>
  <c r="AN126" i="3" s="1"/>
  <c r="AM125" i="3"/>
  <c r="H9" i="9"/>
  <c r="AG57" i="3"/>
  <c r="AR31" i="9" s="1"/>
  <c r="Y81" i="3"/>
  <c r="O81" i="3"/>
  <c r="Z81" i="3"/>
  <c r="H81" i="3"/>
  <c r="AD81" i="3"/>
  <c r="S81" i="3"/>
  <c r="F81" i="3"/>
  <c r="AG81" i="3"/>
  <c r="J81" i="3"/>
  <c r="AR20" i="9"/>
  <c r="AI81" i="3"/>
  <c r="AA81" i="3"/>
  <c r="AD19" i="9"/>
  <c r="AL19" i="9"/>
  <c r="AY19" i="9"/>
  <c r="D24" i="9"/>
  <c r="AQ57" i="3"/>
  <c r="BB31" i="9" s="1"/>
  <c r="AQ66" i="3"/>
  <c r="BB29" i="9" s="1"/>
  <c r="Q57" i="3"/>
  <c r="AB31" i="9" s="1"/>
  <c r="Q66" i="3"/>
  <c r="AB29" i="9" s="1"/>
  <c r="AM57" i="3"/>
  <c r="AX31" i="9" s="1"/>
  <c r="AM66" i="3"/>
  <c r="AX29" i="9" s="1"/>
  <c r="AT19" i="9"/>
  <c r="Z19" i="9"/>
  <c r="R19" i="9"/>
  <c r="S19" i="9"/>
  <c r="V19" i="9"/>
  <c r="AF19" i="9"/>
  <c r="D22" i="9"/>
  <c r="AG66" i="3"/>
  <c r="AR29" i="9" s="1"/>
  <c r="AW19" i="9"/>
  <c r="AU19" i="9"/>
  <c r="E24" i="9"/>
  <c r="E21" i="9"/>
  <c r="W27" i="9"/>
  <c r="W57" i="3"/>
  <c r="AH31" i="9" s="1"/>
  <c r="W66" i="3"/>
  <c r="AH29" i="9" s="1"/>
  <c r="AM27" i="9"/>
  <c r="S57" i="3"/>
  <c r="AD31" i="9" s="1"/>
  <c r="S66" i="3"/>
  <c r="AD29" i="9" s="1"/>
  <c r="AC57" i="3"/>
  <c r="AN31" i="9" s="1"/>
  <c r="AC66" i="3"/>
  <c r="AN29" i="9" s="1"/>
  <c r="T27" i="9"/>
  <c r="AP16" i="9"/>
  <c r="H16" i="9"/>
  <c r="AE19" i="9"/>
  <c r="AO19" i="9"/>
  <c r="T19" i="9"/>
  <c r="AB19" i="9"/>
  <c r="AJ19" i="9"/>
  <c r="Y19" i="9"/>
  <c r="X66" i="3"/>
  <c r="AI29" i="9" s="1"/>
  <c r="H57" i="3"/>
  <c r="S31" i="9" s="1"/>
  <c r="H66" i="3"/>
  <c r="S29" i="9" s="1"/>
  <c r="U27" i="9"/>
  <c r="BA27" i="9"/>
  <c r="AJ27" i="9"/>
  <c r="AS27" i="9"/>
  <c r="AN57" i="3"/>
  <c r="AY31" i="9" s="1"/>
  <c r="AN66" i="3"/>
  <c r="AY29" i="9" s="1"/>
  <c r="AA57" i="3"/>
  <c r="AL31" i="9" s="1"/>
  <c r="AA66" i="3"/>
  <c r="AL29" i="9" s="1"/>
  <c r="K57" i="3"/>
  <c r="V31" i="9" s="1"/>
  <c r="K66" i="3"/>
  <c r="V29" i="9" s="1"/>
  <c r="W19" i="9"/>
  <c r="BA19" i="9"/>
  <c r="AX19" i="9"/>
  <c r="Y27" i="9"/>
  <c r="AC16" i="9"/>
  <c r="I16" i="9"/>
  <c r="AG27" i="9"/>
  <c r="AK19" i="9"/>
  <c r="BB19" i="9"/>
  <c r="X27" i="9"/>
  <c r="AO27" i="9"/>
  <c r="AL57" i="3"/>
  <c r="AW31" i="9" s="1"/>
  <c r="AL66" i="3"/>
  <c r="AW29" i="9" s="1"/>
  <c r="Z27" i="9"/>
  <c r="AV19" i="9"/>
  <c r="AK57" i="3"/>
  <c r="AV31" i="9" s="1"/>
  <c r="AK66" i="3"/>
  <c r="AV29" i="9" s="1"/>
  <c r="AO57" i="3"/>
  <c r="AZ31" i="9" s="1"/>
  <c r="AO66" i="3"/>
  <c r="AZ29" i="9" s="1"/>
  <c r="U57" i="3"/>
  <c r="AF31" i="9" s="1"/>
  <c r="U66" i="3"/>
  <c r="AF29" i="9" s="1"/>
  <c r="AK27" i="9"/>
  <c r="AT27" i="9"/>
  <c r="G57" i="3"/>
  <c r="R31" i="9" s="1"/>
  <c r="G66" i="3"/>
  <c r="R29" i="9" s="1"/>
  <c r="D8" i="9"/>
  <c r="AC9" i="9"/>
  <c r="I9" i="9"/>
  <c r="AF57" i="3"/>
  <c r="AQ31" i="9" s="1"/>
  <c r="AF66" i="3"/>
  <c r="AQ29" i="9" s="1"/>
  <c r="T57" i="3"/>
  <c r="AE31" i="9" s="1"/>
  <c r="T66" i="3"/>
  <c r="AE29" i="9" s="1"/>
  <c r="E8" i="9"/>
  <c r="AP9" i="9"/>
  <c r="P57" i="3"/>
  <c r="AA31" i="9" s="1"/>
  <c r="P66" i="3"/>
  <c r="AA29" i="9" s="1"/>
  <c r="AJ57" i="3"/>
  <c r="AU31" i="9" s="1"/>
  <c r="AJ66" i="3"/>
  <c r="AU29" i="9" s="1"/>
  <c r="D21" i="9"/>
  <c r="M81" i="3"/>
  <c r="X20" i="9"/>
  <c r="AH19" i="9"/>
  <c r="AS19" i="9"/>
  <c r="AH81" i="3"/>
  <c r="W81" i="3"/>
  <c r="R76" i="3"/>
  <c r="AI19" i="9"/>
  <c r="X81" i="3"/>
  <c r="R79" i="3"/>
  <c r="E22" i="9"/>
  <c r="AB81" i="3"/>
  <c r="D23" i="9"/>
  <c r="AM19" i="9"/>
  <c r="E23" i="9"/>
  <c r="R78" i="3"/>
  <c r="V81" i="3"/>
  <c r="AA19" i="9"/>
  <c r="AG19" i="9"/>
  <c r="R77" i="3"/>
  <c r="P81" i="3"/>
  <c r="U19" i="9"/>
  <c r="AN19" i="9"/>
  <c r="E20" i="9"/>
  <c r="AO81" i="3"/>
  <c r="AZ20" i="9"/>
  <c r="Q19" i="9"/>
  <c r="Q13" i="9" s="1"/>
  <c r="AA124" i="3" l="1"/>
  <c r="AB124" i="3" s="1"/>
  <c r="AC124" i="3" s="1"/>
  <c r="AD124" i="3" s="1"/>
  <c r="AE124" i="3" s="1"/>
  <c r="AF124" i="3" s="1"/>
  <c r="AG124" i="3" s="1"/>
  <c r="AH124" i="3" s="1"/>
  <c r="AI124" i="3" s="1"/>
  <c r="AJ124" i="3" s="1"/>
  <c r="AK124" i="3" s="1"/>
  <c r="AL124" i="3" s="1"/>
  <c r="AM124" i="3" s="1"/>
  <c r="AN124" i="3" s="1"/>
  <c r="AN125" i="3"/>
  <c r="BA13" i="9"/>
  <c r="AJ13" i="9"/>
  <c r="U13" i="9"/>
  <c r="W13" i="9"/>
  <c r="AG13" i="9"/>
  <c r="T13" i="9"/>
  <c r="AM13" i="9"/>
  <c r="AK13" i="9"/>
  <c r="Z13" i="9"/>
  <c r="AS13" i="9"/>
  <c r="Y13" i="9"/>
  <c r="AO13" i="9"/>
  <c r="AT13" i="9"/>
  <c r="AR19" i="9"/>
  <c r="C31" i="9"/>
  <c r="C15" i="9" s="1"/>
  <c r="AG33" i="9"/>
  <c r="AF27" i="9"/>
  <c r="AF13" i="9" s="1"/>
  <c r="BA33" i="9"/>
  <c r="AI27" i="9"/>
  <c r="AI13" i="9" s="1"/>
  <c r="AO33" i="9"/>
  <c r="H21" i="9"/>
  <c r="AP21" i="9"/>
  <c r="AC22" i="9"/>
  <c r="I22" i="9"/>
  <c r="AT33" i="9"/>
  <c r="AP20" i="9"/>
  <c r="AM33" i="9"/>
  <c r="AE27" i="9"/>
  <c r="AE13" i="9" s="1"/>
  <c r="R27" i="9"/>
  <c r="R13" i="9" s="1"/>
  <c r="D29" i="9"/>
  <c r="AW27" i="9"/>
  <c r="AW13" i="9" s="1"/>
  <c r="AY27" i="9"/>
  <c r="AY13" i="9" s="1"/>
  <c r="E29" i="9"/>
  <c r="AD27" i="9"/>
  <c r="AD13" i="9" s="1"/>
  <c r="AX27" i="9"/>
  <c r="AX13" i="9" s="1"/>
  <c r="AP22" i="9"/>
  <c r="H22" i="9"/>
  <c r="R57" i="3"/>
  <c r="AP8" i="9"/>
  <c r="H8" i="9"/>
  <c r="S27" i="9"/>
  <c r="S13" i="9" s="1"/>
  <c r="Y33" i="9"/>
  <c r="AB27" i="9"/>
  <c r="AB13" i="9" s="1"/>
  <c r="AC23" i="9"/>
  <c r="I23" i="9"/>
  <c r="AC21" i="9"/>
  <c r="I21" i="9"/>
  <c r="AA27" i="9"/>
  <c r="AA13" i="9" s="1"/>
  <c r="AV27" i="9"/>
  <c r="AV13" i="9" s="1"/>
  <c r="AK33" i="9"/>
  <c r="W33" i="9"/>
  <c r="AL27" i="9"/>
  <c r="AL13" i="9" s="1"/>
  <c r="AJ33" i="9"/>
  <c r="T33" i="9"/>
  <c r="AN27" i="9"/>
  <c r="AN13" i="9" s="1"/>
  <c r="AH27" i="9"/>
  <c r="AH13" i="9" s="1"/>
  <c r="AP24" i="9"/>
  <c r="H24" i="9"/>
  <c r="AR27" i="9"/>
  <c r="Z33" i="9"/>
  <c r="AP23" i="9"/>
  <c r="H23" i="9"/>
  <c r="AC8" i="9"/>
  <c r="I8" i="9"/>
  <c r="AZ19" i="9"/>
  <c r="U33" i="9"/>
  <c r="AS33" i="9"/>
  <c r="D20" i="9"/>
  <c r="H20" i="9" s="1"/>
  <c r="AU27" i="9"/>
  <c r="AU13" i="9" s="1"/>
  <c r="AQ27" i="9"/>
  <c r="AQ13" i="9" s="1"/>
  <c r="AZ27" i="9"/>
  <c r="V27" i="9"/>
  <c r="E31" i="9"/>
  <c r="BB27" i="9"/>
  <c r="BB13" i="9" s="1"/>
  <c r="AC24" i="9"/>
  <c r="I24" i="9"/>
  <c r="X19" i="9"/>
  <c r="X13" i="9" s="1"/>
  <c r="E19" i="9"/>
  <c r="Q33" i="9"/>
  <c r="R81" i="3"/>
  <c r="C33" i="9" l="1"/>
  <c r="C41" i="9" s="1"/>
  <c r="C44" i="9" s="1"/>
  <c r="D15" i="6" s="1"/>
  <c r="P15" i="9"/>
  <c r="AZ13" i="9"/>
  <c r="V13" i="9"/>
  <c r="C13" i="9"/>
  <c r="AR13" i="9"/>
  <c r="S33" i="9"/>
  <c r="AX33" i="9"/>
  <c r="D31" i="9"/>
  <c r="I31" i="9" s="1"/>
  <c r="P31" i="9"/>
  <c r="P13" i="9" s="1"/>
  <c r="AE33" i="9"/>
  <c r="AF33" i="9"/>
  <c r="AI33" i="9"/>
  <c r="D19" i="9"/>
  <c r="AV33" i="9"/>
  <c r="R33" i="9"/>
  <c r="AL33" i="9"/>
  <c r="AR33" i="9"/>
  <c r="AD33" i="9"/>
  <c r="AP31" i="9"/>
  <c r="AC20" i="9"/>
  <c r="I20" i="9"/>
  <c r="AZ33" i="9"/>
  <c r="AU33" i="9"/>
  <c r="AW33" i="9"/>
  <c r="AB33" i="9"/>
  <c r="AY33" i="9"/>
  <c r="E27" i="9"/>
  <c r="E15" i="9" s="1"/>
  <c r="AP29" i="9"/>
  <c r="H29" i="9"/>
  <c r="AA33" i="9"/>
  <c r="AP19" i="9"/>
  <c r="X33" i="9"/>
  <c r="AQ33" i="9"/>
  <c r="AH33" i="9"/>
  <c r="AN33" i="9"/>
  <c r="V33" i="9"/>
  <c r="BB33" i="9"/>
  <c r="AC29" i="9"/>
  <c r="I29" i="9"/>
  <c r="D27" i="9"/>
  <c r="P33" i="9" l="1"/>
  <c r="E33" i="9"/>
  <c r="E41" i="9" s="1"/>
  <c r="D15" i="9"/>
  <c r="D13" i="9"/>
  <c r="E13" i="9"/>
  <c r="I19" i="9"/>
  <c r="AC31" i="9"/>
  <c r="H31" i="9"/>
  <c r="P44" i="9"/>
  <c r="Q44" i="9"/>
  <c r="H19" i="9"/>
  <c r="AC19" i="9"/>
  <c r="AC27" i="9"/>
  <c r="I27" i="9"/>
  <c r="AP27" i="9"/>
  <c r="AP13" i="9" s="1"/>
  <c r="H27" i="9"/>
  <c r="AP33" i="9" l="1"/>
  <c r="D33" i="9"/>
  <c r="D41" i="9" s="1"/>
  <c r="D44" i="9" s="1"/>
  <c r="I15" i="9"/>
  <c r="H15" i="9"/>
  <c r="E42" i="9"/>
  <c r="H13" i="9"/>
  <c r="AC13" i="9"/>
  <c r="I13" i="9"/>
  <c r="R44" i="9"/>
  <c r="E44" i="9" l="1"/>
  <c r="Q45" i="9"/>
  <c r="R45" i="9"/>
  <c r="I33" i="9"/>
  <c r="AC33" i="9"/>
  <c r="H33" i="9"/>
  <c r="S44" i="9"/>
  <c r="S45" i="9" l="1"/>
  <c r="D42" i="9"/>
  <c r="I41" i="9"/>
  <c r="H41" i="9"/>
  <c r="T44" i="9"/>
  <c r="T45" i="9" l="1"/>
  <c r="U44" i="9"/>
  <c r="U45" i="9" l="1"/>
  <c r="V44" i="9"/>
  <c r="V45" i="9" l="1"/>
  <c r="W44" i="9"/>
  <c r="W45" i="9" l="1"/>
  <c r="X44" i="9"/>
  <c r="X45" i="9" l="1"/>
  <c r="Y44" i="9"/>
  <c r="Y45" i="9" l="1"/>
  <c r="Z44" i="9"/>
  <c r="Z45" i="9" l="1"/>
  <c r="AA44" i="9"/>
  <c r="AA45" i="9" s="1"/>
  <c r="AB44" i="9" l="1"/>
  <c r="AB45" i="9" l="1"/>
  <c r="AD44" i="9"/>
  <c r="AD45" i="9" l="1"/>
  <c r="AC44" i="9"/>
  <c r="AE44" i="9"/>
  <c r="AE45" i="9" l="1"/>
  <c r="AF44" i="9"/>
  <c r="AF45" i="9" l="1"/>
  <c r="AG44" i="9"/>
  <c r="AG45" i="9" s="1"/>
  <c r="AH44" i="9" l="1"/>
  <c r="AH45" i="9" l="1"/>
  <c r="AI44" i="9"/>
  <c r="AI45" i="9" l="1"/>
  <c r="AJ44" i="9"/>
  <c r="AJ45" i="9" l="1"/>
  <c r="AK44" i="9"/>
  <c r="AK45" i="9" l="1"/>
  <c r="AL44" i="9"/>
  <c r="AL45" i="9" s="1"/>
  <c r="AM44" i="9" l="1"/>
  <c r="AM45" i="9" l="1"/>
  <c r="AN44" i="9"/>
  <c r="AN45" i="9" l="1"/>
  <c r="AO44" i="9"/>
  <c r="AO45" i="9" s="1"/>
  <c r="AQ44" i="9" l="1"/>
  <c r="AQ45" i="9" l="1"/>
  <c r="I44" i="9"/>
  <c r="AP44" i="9"/>
  <c r="H44" i="9"/>
  <c r="AR44" i="9"/>
  <c r="AR45" i="9" l="1"/>
  <c r="AS44" i="9"/>
  <c r="AS45" i="9" l="1"/>
  <c r="AT44" i="9"/>
  <c r="AT45" i="9" s="1"/>
  <c r="AU44" i="9" l="1"/>
  <c r="AU45" i="9" l="1"/>
  <c r="AV44" i="9"/>
  <c r="AV45" i="9" l="1"/>
  <c r="AW44" i="9"/>
  <c r="AW45" i="9" l="1"/>
  <c r="AX44" i="9"/>
  <c r="AX45" i="9" l="1"/>
  <c r="AY44" i="9"/>
  <c r="AY45" i="9" l="1"/>
  <c r="AZ44" i="9"/>
  <c r="AZ45" i="9" l="1"/>
  <c r="BA44" i="9"/>
  <c r="BA45" i="9" l="1"/>
  <c r="BB44" i="9"/>
  <c r="BB45" i="9" s="1"/>
  <c r="CQ45" i="9" s="1"/>
  <c r="CR45" i="9" s="1"/>
  <c r="D17" i="6" l="1"/>
  <c r="D10" i="6" s="1"/>
  <c r="F21" i="9"/>
  <c r="K21" i="9" s="1"/>
  <c r="F11" i="9"/>
  <c r="K11" i="9" s="1"/>
  <c r="F25" i="9"/>
  <c r="G25" i="9" s="1"/>
  <c r="BD25" i="9" s="1"/>
  <c r="F38" i="9"/>
  <c r="K38" i="9" s="1"/>
  <c r="F26" i="9"/>
  <c r="J26" i="9" s="1"/>
  <c r="F24" i="9"/>
  <c r="K24" i="9" s="1"/>
  <c r="F18" i="9"/>
  <c r="G18" i="9" s="1"/>
  <c r="BD18" i="9" s="1"/>
  <c r="F23" i="9"/>
  <c r="J23" i="9" s="1"/>
  <c r="F20" i="9"/>
  <c r="G20" i="9" s="1"/>
  <c r="BD20" i="9" s="1"/>
  <c r="F9" i="9"/>
  <c r="K9" i="9" s="1"/>
  <c r="F10" i="9"/>
  <c r="K10" i="9" s="1"/>
  <c r="F30" i="9"/>
  <c r="K30" i="9" s="1"/>
  <c r="F22" i="9"/>
  <c r="K22" i="9" s="1"/>
  <c r="F17" i="9"/>
  <c r="G17" i="9" s="1"/>
  <c r="BD17" i="9" s="1"/>
  <c r="F29" i="9"/>
  <c r="J29" i="9" s="1"/>
  <c r="F31" i="9"/>
  <c r="BC31" i="9" s="1"/>
  <c r="F36" i="9"/>
  <c r="K36" i="9" s="1"/>
  <c r="F39" i="9"/>
  <c r="J39" i="9" s="1"/>
  <c r="F28" i="9"/>
  <c r="J28" i="9" s="1"/>
  <c r="G23" i="9" l="1"/>
  <c r="BD23" i="9" s="1"/>
  <c r="BC20" i="9"/>
  <c r="G36" i="9"/>
  <c r="BC38" i="9"/>
  <c r="J9" i="9"/>
  <c r="K20" i="9"/>
  <c r="F8" i="9"/>
  <c r="AE57" i="3" s="1"/>
  <c r="BC30" i="9"/>
  <c r="J30" i="9"/>
  <c r="G22" i="9"/>
  <c r="BD22" i="9" s="1"/>
  <c r="G10" i="9"/>
  <c r="BD10" i="9" s="1"/>
  <c r="BC21" i="9"/>
  <c r="K23" i="9"/>
  <c r="J10" i="9"/>
  <c r="BC22" i="9"/>
  <c r="BC9" i="9"/>
  <c r="BC17" i="9"/>
  <c r="BC10" i="9"/>
  <c r="F19" i="9"/>
  <c r="G19" i="9" s="1"/>
  <c r="BD19" i="9" s="1"/>
  <c r="BC23" i="9"/>
  <c r="BC11" i="9"/>
  <c r="G26" i="9"/>
  <c r="J24" i="9"/>
  <c r="J38" i="9"/>
  <c r="J31" i="9"/>
  <c r="J36" i="9"/>
  <c r="K28" i="9"/>
  <c r="BC28" i="9"/>
  <c r="BC39" i="9"/>
  <c r="BC36" i="9"/>
  <c r="G29" i="9"/>
  <c r="BD29" i="9" s="1"/>
  <c r="F16" i="9"/>
  <c r="BC18" i="9"/>
  <c r="G24" i="9"/>
  <c r="BD24" i="9" s="1"/>
  <c r="G9" i="9"/>
  <c r="BD9" i="9" s="1"/>
  <c r="G38" i="9"/>
  <c r="BD38" i="9" s="1"/>
  <c r="BC25" i="9"/>
  <c r="G11" i="9"/>
  <c r="BD11" i="9" s="1"/>
  <c r="J17" i="9"/>
  <c r="K31" i="9"/>
  <c r="J20" i="9"/>
  <c r="J21" i="9"/>
  <c r="J22" i="9"/>
  <c r="G30" i="9"/>
  <c r="BD30" i="9" s="1"/>
  <c r="J18" i="9"/>
  <c r="J25" i="9"/>
  <c r="J11" i="9"/>
  <c r="AE75" i="3"/>
  <c r="G31" i="9"/>
  <c r="BD31" i="9" s="1"/>
  <c r="G21" i="9"/>
  <c r="BD21" i="9" s="1"/>
  <c r="K17" i="9"/>
  <c r="F37" i="9"/>
  <c r="F35" i="9" s="1"/>
  <c r="K29" i="9"/>
  <c r="K39" i="9"/>
  <c r="K26" i="9"/>
  <c r="K18" i="9"/>
  <c r="K25" i="9"/>
  <c r="F27" i="9"/>
  <c r="G39" i="9"/>
  <c r="BD39" i="9" s="1"/>
  <c r="BC29" i="9"/>
  <c r="G28" i="9"/>
  <c r="BD28" i="9" s="1"/>
  <c r="BC24" i="9"/>
  <c r="BC26" i="9"/>
  <c r="J35" i="9" l="1"/>
  <c r="K35" i="9"/>
  <c r="K8" i="9"/>
  <c r="BD36" i="9"/>
  <c r="BD41" i="9" s="1"/>
  <c r="F15" i="9"/>
  <c r="G8" i="9"/>
  <c r="BD8" i="9" s="1"/>
  <c r="J19" i="9"/>
  <c r="BC8" i="9"/>
  <c r="BC41" i="9"/>
  <c r="J8" i="9"/>
  <c r="BC19" i="9"/>
  <c r="F13" i="9"/>
  <c r="K19" i="9"/>
  <c r="BD26" i="9"/>
  <c r="J27" i="9"/>
  <c r="G27" i="9"/>
  <c r="BD27" i="9" s="1"/>
  <c r="BC27" i="9"/>
  <c r="K27" i="9"/>
  <c r="BC37" i="9"/>
  <c r="K37" i="9"/>
  <c r="G37" i="9"/>
  <c r="BD37" i="9" s="1"/>
  <c r="J37" i="9"/>
  <c r="AE77" i="3"/>
  <c r="AE79" i="3"/>
  <c r="AE80" i="3"/>
  <c r="AE76" i="3"/>
  <c r="AE78" i="3"/>
  <c r="K16" i="9"/>
  <c r="BC16" i="9"/>
  <c r="G16" i="9"/>
  <c r="BD16" i="9" s="1"/>
  <c r="J16" i="9"/>
  <c r="G35" i="9" l="1"/>
  <c r="J15" i="9"/>
  <c r="K15" i="9"/>
  <c r="G15" i="9"/>
  <c r="G33" i="9" s="1"/>
  <c r="F33" i="9"/>
  <c r="K33" i="9" s="1"/>
  <c r="BC13" i="9"/>
  <c r="J13" i="9"/>
  <c r="K13" i="9"/>
  <c r="G13" i="9"/>
  <c r="BD13" i="9"/>
  <c r="AE81" i="3"/>
  <c r="BC33" i="9" l="1"/>
  <c r="J33" i="9"/>
  <c r="G41" i="9"/>
  <c r="G44" i="9" s="1"/>
  <c r="F41" i="9"/>
  <c r="F44" i="9" s="1"/>
  <c r="BD33" i="9"/>
  <c r="K44" i="9" l="1"/>
  <c r="J44" i="9"/>
  <c r="BC44" i="9"/>
  <c r="G42" i="9"/>
  <c r="BD44" i="9"/>
  <c r="F42" i="9"/>
  <c r="J41" i="9"/>
  <c r="K41" i="9"/>
  <c r="BD7" i="9"/>
</calcChain>
</file>

<file path=xl/comments1.xml><?xml version="1.0" encoding="utf-8"?>
<comments xmlns="http://schemas.openxmlformats.org/spreadsheetml/2006/main">
  <authors>
    <author>Гамов Виталий</author>
  </authors>
  <commentList>
    <comment ref="C11" authorId="0" shapeId="0">
      <text>
        <r>
          <rPr>
            <sz val="9"/>
            <color indexed="81"/>
            <rFont val="Tahoma"/>
            <family val="2"/>
            <charset val="204"/>
          </rPr>
          <t>Красным флажком обозначаются ячейки для которых есть комментарий к расчету</t>
        </r>
      </text>
    </comment>
    <comment ref="C12" authorId="0" shapeId="0">
      <text>
        <r>
          <rPr>
            <sz val="9"/>
            <color indexed="81"/>
            <rFont val="Tahoma"/>
            <family val="2"/>
            <charset val="204"/>
          </rPr>
          <t>Это комментарий к ячейке, он подскажет, как данные считаются или поможет понять, какие данные поставить в ячейку.</t>
        </r>
      </text>
    </comment>
    <comment ref="C28" authorId="0" shapeId="0">
      <text>
        <r>
          <rPr>
            <b/>
            <sz val="9"/>
            <color indexed="81"/>
            <rFont val="Tahoma"/>
            <family val="2"/>
            <charset val="204"/>
          </rPr>
          <t>Гамов Виталий:</t>
        </r>
        <r>
          <rPr>
            <sz val="9"/>
            <color indexed="81"/>
            <rFont val="Tahoma"/>
            <family val="2"/>
            <charset val="204"/>
          </rPr>
          <t xml:space="preserve">
Даже имея большое количество параметров надо понимать, что модель может дать только приблизительное понимание.
Для простоты понимания, например, не учтены такие факторы как лагерь и мастер-классы - если вы их проводите - детей становится больше.
Если у вас хороший преподаватель - отток детей будет, но он будет минимальным, преподаватель скучный или сложно преподносит материал (об ошибках мы говорим в рекомендациях) - вы непременно увидите пустые классы. Не учтена инфляция и другие внешние факторы.
Можно "накрутить" параметрами фин.модель так, что ее будет сложно понять даже создателю, но даже в этом случае есть риск что то не учесть и заполнять модель надо будет очень долго, а еще сложнее интерпретировать результаты.
Есть вопросы - звоните!</t>
        </r>
      </text>
    </comment>
  </commentList>
</comments>
</file>

<file path=xl/comments2.xml><?xml version="1.0" encoding="utf-8"?>
<comments xmlns="http://schemas.openxmlformats.org/spreadsheetml/2006/main">
  <authors>
    <author>Гамов Виталий</author>
  </authors>
  <commentList>
    <comment ref="E6" authorId="0" shapeId="0">
      <text>
        <r>
          <rPr>
            <sz val="9"/>
            <color indexed="81"/>
            <rFont val="Tahoma"/>
            <family val="2"/>
            <charset val="204"/>
          </rPr>
          <t xml:space="preserve">Начало проекта считается моментом заключения договора и закупки оборудования. Соответственно, с этого месяца начинаются расходы (в финансовой модели он называется «Инвестиционный период»), со следующего - выручка.
Если старт проекта приходится на месяцы с мая по июль, то автоматически все расходы будут отражены в инвестиционном периоде, а выручка с сентября, т.к. открытие будет в сентябре. Соответственно, выручка и расходы по заработной плате начнутся с сентября.
</t>
        </r>
      </text>
    </comment>
    <comment ref="E7" authorId="0" shapeId="0">
      <text>
        <r>
          <rPr>
            <sz val="9"/>
            <color indexed="81"/>
            <rFont val="Tahoma"/>
            <family val="2"/>
            <charset val="204"/>
          </rPr>
          <t>Тип франшизы влияет на стоимость оборудования, единовременный и ежемесячный платеж.</t>
        </r>
      </text>
    </comment>
  </commentList>
</comments>
</file>

<file path=xl/comments3.xml><?xml version="1.0" encoding="utf-8"?>
<comments xmlns="http://schemas.openxmlformats.org/spreadsheetml/2006/main">
  <authors>
    <author>Гамов Виталий</author>
  </authors>
  <commentList>
    <comment ref="E8" authorId="0" shapeId="0">
      <text>
        <r>
          <rPr>
            <sz val="9"/>
            <color indexed="81"/>
            <rFont val="Tahoma"/>
            <family val="2"/>
            <charset val="204"/>
          </rPr>
          <t xml:space="preserve">Здесь можно выбрать значения по умолчанию для всех показателей модели. Можно посмотреть показатели, поставив умеренный рост, средний или максимальный. Здесь также показан результат работающего клуба в Марьино. После того, как показатели по умолчанию выбраны, вы можете скорректировать любое значение, поставив свои данные в столбце 'С'
</t>
        </r>
        <r>
          <rPr>
            <b/>
            <sz val="9"/>
            <color indexed="81"/>
            <rFont val="Tahoma"/>
            <family val="2"/>
            <charset val="204"/>
          </rPr>
          <t xml:space="preserve">
Тип статистики:</t>
        </r>
        <r>
          <rPr>
            <sz val="9"/>
            <color indexed="81"/>
            <rFont val="Tahoma"/>
            <family val="2"/>
            <charset val="204"/>
          </rPr>
          <t xml:space="preserve">
</t>
        </r>
        <r>
          <rPr>
            <b/>
            <sz val="9"/>
            <color indexed="81"/>
            <rFont val="Tahoma"/>
            <family val="2"/>
            <charset val="204"/>
          </rPr>
          <t>Минимальный</t>
        </r>
        <r>
          <rPr>
            <sz val="9"/>
            <color indexed="81"/>
            <rFont val="Tahoma"/>
            <family val="2"/>
            <charset val="204"/>
          </rPr>
          <t xml:space="preserve"> - очень низкий результат заполняемости класса, этот результат легко достижим
</t>
        </r>
        <r>
          <rPr>
            <b/>
            <sz val="9"/>
            <color indexed="81"/>
            <rFont val="Tahoma"/>
            <family val="2"/>
            <charset val="204"/>
          </rPr>
          <t>Средний</t>
        </r>
        <r>
          <rPr>
            <sz val="9"/>
            <color indexed="81"/>
            <rFont val="Tahoma"/>
            <family val="2"/>
            <charset val="204"/>
          </rPr>
          <t xml:space="preserve"> - результат, на который необходимо ориентироваться. Достижимый результат, который можно и нужно превзойти.
</t>
        </r>
        <r>
          <rPr>
            <b/>
            <sz val="9"/>
            <color indexed="81"/>
            <rFont val="Tahoma"/>
            <family val="2"/>
            <charset val="204"/>
          </rPr>
          <t>Максимальный</t>
        </r>
        <r>
          <rPr>
            <sz val="9"/>
            <color indexed="81"/>
            <rFont val="Tahoma"/>
            <family val="2"/>
            <charset val="204"/>
          </rPr>
          <t xml:space="preserve"> - результат, который почти недостижим, т.к. очень сложно добиться полной заполняемости помещения в будни (дети сильно загружены), по выходным классы заполненны полностью.</t>
        </r>
      </text>
    </comment>
    <comment ref="E12" authorId="0" shapeId="0">
      <text>
        <r>
          <rPr>
            <sz val="9"/>
            <color indexed="81"/>
            <rFont val="Tahoma"/>
            <family val="2"/>
            <charset val="204"/>
          </rPr>
          <t>Коэффициент влияет на количество учеников в таблице распределения: 1 = 100% (как в значениях по умолчанию), 0.9 = 90% (учеников на каждом уроке будет меньше на 10%), 1.1 = 110 (больше на 10%)</t>
        </r>
      </text>
    </comment>
    <comment ref="E13" authorId="0" shapeId="0">
      <text>
        <r>
          <rPr>
            <sz val="9"/>
            <color indexed="81"/>
            <rFont val="Tahoma"/>
            <family val="2"/>
            <charset val="204"/>
          </rPr>
          <t>Не "всего обучается", а вместимость одного класса
от 4 человек меньше нерентабельно
до 12 человек. Больше можно, но потребуется помощник преподавателя и сложнее обеспечить полную загрузку.
Оптимальная вместимость 8-10 человек.</t>
        </r>
      </text>
    </comment>
    <comment ref="E14" authorId="0" shapeId="0">
      <text>
        <r>
          <rPr>
            <sz val="9"/>
            <color indexed="81"/>
            <rFont val="Tahoma"/>
            <family val="2"/>
            <charset val="204"/>
          </rPr>
          <t>Сколько уроков можно провести в вашем помещении?
Исходя из того, что занятие длится 1.5 часа, между уроками необходимо оставить перерыв 20-30 мин., а в будни комфортно начинать в 16 часов, то можно провести 2 занятия за день.
В выходной день занятия можно начинать в 10, соответственно, 5 занятий, некоторые сокращают перерыв между уроками и можно успеть провести 6 занятий.
Т.о. в одном помещении можно провести до 20 уроков.
Задается именно количество уроков в неделю, т.к. это периодичность занятий для обучающегося.
Для финансовой модели указанное количество умножается на 4.285 - среднее количество недель в месяц и округляется до целого.</t>
        </r>
      </text>
    </comment>
    <comment ref="E15" authorId="0" shapeId="0">
      <text>
        <r>
          <rPr>
            <sz val="9"/>
            <color indexed="81"/>
            <rFont val="Tahoma"/>
            <family val="2"/>
            <charset val="204"/>
          </rPr>
          <t xml:space="preserve">Укажите среднюю стоимость абонемента за 4 занятия. Например, мы даем скидки если учится 2 и более детей, ребенок посещает несколько секций и т.д.
Для финансовой модели указанная стоимость абонемента умножается на 1,07125 т.к. в месяце 4.285 недели.
Т.е. в некоторые месяцы проходит 5 занятий, в другие 4. Но клиент всегда платит за 4 занятия, не привязываясь к календарю.
</t>
        </r>
      </text>
    </comment>
    <comment ref="E21" authorId="0" shapeId="0">
      <text>
        <r>
          <rPr>
            <sz val="9"/>
            <color indexed="81"/>
            <rFont val="Tahoma"/>
            <family val="2"/>
            <charset val="204"/>
          </rPr>
          <t>Стоимость и комплектность оборудования указана на отдельном листе.
Если оборудование покупается постепенно, расходы на оборудование появляются по мере заполнения класса. Такой подход позволяет снизить первоначальные вложения, т.к. расходы на покупку дополнительного оборудования оплачиваются за счет проданных абонементов
Количество оборудования зависит от количества учеников в классе.</t>
        </r>
      </text>
    </comment>
    <comment ref="E25" authorId="0" shapeId="0">
      <text>
        <r>
          <rPr>
            <sz val="9"/>
            <color indexed="81"/>
            <rFont val="Tahoma"/>
            <family val="2"/>
            <charset val="204"/>
          </rPr>
          <t>Если старт проекта с мая по июль, то сумма арендной платы будет увеличена на месяцы простоя помещения и отражена в столбце "Инвестиционный период" до августа включительно.</t>
        </r>
      </text>
    </comment>
    <comment ref="E26" authorId="0" shapeId="0">
      <text>
        <r>
          <rPr>
            <sz val="9"/>
            <color indexed="81"/>
            <rFont val="Tahoma"/>
            <family val="2"/>
            <charset val="204"/>
          </rPr>
          <t>Как правило обеспечительный платеж уплачивается в первый месяц и равен половине или полной стоимости аренды, но может отсутствовать (зависит от договора).
Можно указать % от суммы аренды за месяц или поставить точную сумму:
до 200 - это будет процент от платежа за месяц и программа в обеспечительный взнос поставит указанный % от арендной платы
свыше 200 - программа посчитает суммой арендной платы
т.о. если поставить 50, то обеспечительный платеж будет = половине арендной платы.
если поставить 10 000, то эта сумма будет обеспечительным платежом.</t>
        </r>
      </text>
    </comment>
    <comment ref="E27" authorId="0" shapeId="0">
      <text>
        <r>
          <rPr>
            <sz val="9"/>
            <color indexed="81"/>
            <rFont val="Tahoma"/>
            <family val="2"/>
            <charset val="204"/>
          </rPr>
          <t>Банки берут плату за:
- месячное обслуживание
- снятие / перевод
Укажите примерную плату за банковское обслуживание выбранного банка</t>
        </r>
      </text>
    </comment>
    <comment ref="E28" authorId="0" shapeId="0">
      <text>
        <r>
          <rPr>
            <sz val="9"/>
            <color indexed="81"/>
            <rFont val="Tahoma"/>
            <family val="2"/>
            <charset val="204"/>
          </rPr>
          <t>Вы можете принимать оплату за занятия разными способами. 
Если вы не хотите принимать платежи через интернет, тогда поставьте 0. В этом случае вы сможете принимать оплату наличными или через банк (по реквизитам).
Если вы предоставите клиентам удобную оплату через сайт при помощи банковской картой, то необходимо указать % от принятой суммы, который заберет банк (у нас % = 1.9).
Необходимо помнить, что не все клиенты платят через интернет.
По статистике около 50% платежей проходит через онлайн, поэтому в эту ячейку указывают половину комиссии 1.9 / 2 = 0.95.
Если принимать не только банковские карты, но и оплату через телефон, яндекс.деньги и другое, то эту комиссию также надо увеличить.
Например, если указать 2, то с каждой 1000 рублей выручки 20 рублей будет отнесено на затраты.</t>
        </r>
      </text>
    </comment>
    <comment ref="E30" authorId="0" shapeId="0">
      <text>
        <r>
          <rPr>
            <sz val="9"/>
            <color indexed="81"/>
            <rFont val="Tahoma"/>
            <family val="2"/>
            <charset val="204"/>
          </rPr>
          <t>Убирать помещение необходимо летом и зимой реже, весной и осенью чаще. 
Можно договориться с уборщиками из соседних помещений или переложить работу на администратора.</t>
        </r>
      </text>
    </comment>
    <comment ref="E31" authorId="0" shapeId="0">
      <text>
        <r>
          <rPr>
            <sz val="9"/>
            <color indexed="81"/>
            <rFont val="Tahoma"/>
            <family val="2"/>
            <charset val="204"/>
          </rPr>
          <t>В шаблоне сумма для Москвы, в регионах сумма меньше. 
Указывается сумма за год, далее, в расчете, сумма автоматически будет распределяться по месяцам (вначале учебного года больше, затем меньше).</t>
        </r>
      </text>
    </comment>
    <comment ref="E32" authorId="0" shapeId="0">
      <text>
        <r>
          <rPr>
            <sz val="9"/>
            <color indexed="81"/>
            <rFont val="Tahoma"/>
            <family val="2"/>
            <charset val="204"/>
          </rPr>
          <t>Например, охрана помещения, снабжение (водой, салфетками, чаем и т.д.), т.е. всё то, что-то не учтено выше</t>
        </r>
      </text>
    </comment>
    <comment ref="E33" authorId="0" shapeId="0">
      <text>
        <r>
          <rPr>
            <sz val="9"/>
            <color indexed="81"/>
            <rFont val="Tahoma"/>
            <family val="2"/>
            <charset val="204"/>
          </rPr>
          <t>Расходы, которые повторяются с периодичностью 1 раз в год. Например, оформление медицинских книжек.
Для финансовой модели данные расходы будут поставлены в месяц старта, затем будут повторяться через 12 мес.</t>
        </r>
      </text>
    </comment>
    <comment ref="E37" authorId="0" shapeId="0">
      <text>
        <r>
          <rPr>
            <sz val="9"/>
            <color indexed="81"/>
            <rFont val="Tahoma"/>
            <family val="2"/>
            <charset val="204"/>
          </rPr>
          <t>Здесь можно указать заработную плату за 1 урок
Указанная сумма будет умножена на количество уроков в месяц.
Обычно от 500 до 1500 руб. за 1 урок длительностью 1.5 часа.
Если преподаватель готов работать за фиксированную сумму, то введите зарплату за месяц (она не будет разноситься по урокам, но будет только с сентября по май).</t>
        </r>
      </text>
    </comment>
    <comment ref="E38" authorId="0" shapeId="0">
      <text>
        <r>
          <rPr>
            <sz val="9"/>
            <color indexed="81"/>
            <rFont val="Tahoma"/>
            <family val="2"/>
            <charset val="204"/>
          </rPr>
          <t xml:space="preserve">На старте проекта можно администрировать самостоятельно.
Если будет администратор – введите сумму за месяц.
</t>
        </r>
      </text>
    </comment>
    <comment ref="E41" authorId="0" shapeId="0">
      <text>
        <r>
          <rPr>
            <sz val="9"/>
            <color indexed="81"/>
            <rFont val="Tahoma"/>
            <family val="2"/>
            <charset val="204"/>
          </rPr>
          <t xml:space="preserve">Если у вас Патент (рекомендуется) - укажите полную стоимость патента (налог будет посчитан с начала проекта, однако сумму налога можно платить частями). Сумма за патент в финансовых результатах будет на старте проекта (в сумме пропорциональной месяцам, оставшихся до конца года), затем в полной сумме в начале каждого года.
Сумма налога по другим видам налогообложения (выбирается из списка) будет рассчитана исходя из суммы выручки за каждый месяц.
</t>
        </r>
      </text>
    </comment>
    <comment ref="E42" authorId="0" shapeId="0">
      <text>
        <r>
          <rPr>
            <sz val="9"/>
            <color indexed="81"/>
            <rFont val="Tahoma"/>
            <family val="2"/>
            <charset val="204"/>
          </rPr>
          <t xml:space="preserve">В зависимости от того, как планируете работать, вы можете выбрать базу для начислений налогов:
- 0 - налоги не считаются (например, если нет сотрудников)
- Полный - налоги считаются в полном объеме (НДФЛ, ПФР и другие от полной заработной платы)
- Ввести базу - введите свою сумму, от которой будут посчитаны налоги. (например, если показывается заработная плата в другом объеме).
</t>
        </r>
      </text>
    </comment>
  </commentList>
</comments>
</file>

<file path=xl/comments4.xml><?xml version="1.0" encoding="utf-8"?>
<comments xmlns="http://schemas.openxmlformats.org/spreadsheetml/2006/main">
  <authors>
    <author>Гамов Виталий</author>
  </authors>
  <commentList>
    <comment ref="E8" authorId="0" shapeId="0">
      <text>
        <r>
          <rPr>
            <sz val="9"/>
            <color indexed="81"/>
            <rFont val="Tahoma"/>
            <family val="2"/>
            <charset val="204"/>
          </rPr>
          <t>Доп. занятия пользуются спросом в дни праздников и в каникулы. Обычно мастер-класс проводится в преддверии или в день праздника. Продолжительность 2 часа (30 мин перерыв между занятиями). За день можно сделать 2-3 мастер-класса, если есть комната для чаепития и второй преподаватель / аниматор, можно больше.</t>
        </r>
      </text>
    </comment>
    <comment ref="E9" authorId="0" shapeId="0">
      <text>
        <r>
          <rPr>
            <sz val="9"/>
            <color indexed="81"/>
            <rFont val="Tahoma"/>
            <charset val="1"/>
          </rPr>
          <t>От 500 руб. для учеников клуба, 1000 руб. для тех, кто не учился, однако можно поставить и своё значение</t>
        </r>
      </text>
    </comment>
    <comment ref="E13" authorId="0" shapeId="0">
      <text>
        <r>
          <rPr>
            <sz val="9"/>
            <color indexed="81"/>
            <rFont val="Tahoma"/>
            <family val="2"/>
            <charset val="204"/>
          </rPr>
          <t>Указываются расходы на каждый мастер-класс
Расходы практически отсутствуют приглашаются дети, которые уже занимаются</t>
        </r>
      </text>
    </comment>
    <comment ref="C14" authorId="0" shapeId="0">
      <text>
        <r>
          <rPr>
            <sz val="9"/>
            <color indexed="81"/>
            <rFont val="Tahoma"/>
            <family val="2"/>
            <charset val="204"/>
          </rPr>
          <t>В этой ячейке показывается сумма, если она отличается от значения по умолчанию</t>
        </r>
      </text>
    </comment>
    <comment ref="D14" authorId="0" shapeId="0">
      <text>
        <r>
          <rPr>
            <sz val="9"/>
            <color indexed="81"/>
            <rFont val="Tahoma"/>
            <family val="2"/>
            <charset val="204"/>
          </rPr>
          <t>Итого за год, если используются значения по умолчанию</t>
        </r>
      </text>
    </comment>
    <comment ref="E14" authorId="0" shapeId="0">
      <text>
        <r>
          <rPr>
            <sz val="9"/>
            <color indexed="81"/>
            <rFont val="Tahoma"/>
            <family val="2"/>
            <charset val="204"/>
          </rPr>
          <t>В этой строке не надо ни чего менять, справочно показывается итог за год от мастер-классов.</t>
        </r>
      </text>
    </comment>
    <comment ref="E22" authorId="0" shapeId="0">
      <text>
        <r>
          <rPr>
            <sz val="9"/>
            <color indexed="81"/>
            <rFont val="Tahoma"/>
            <family val="2"/>
            <charset val="204"/>
          </rPr>
          <t xml:space="preserve">Обычно равно вместимости класса
</t>
        </r>
      </text>
    </comment>
    <comment ref="E23" authorId="0" shapeId="0">
      <text>
        <r>
          <rPr>
            <sz val="9"/>
            <color indexed="81"/>
            <rFont val="Tahoma"/>
            <family val="2"/>
            <charset val="204"/>
          </rPr>
          <t>Одна смена - 15 дней
Т.е. за лето пройдет максимум 4 смены, но если можно провести 2 группы в один период, то поставьте 8. Однако 2 группы можно провести, если есть вторая комната для игр, но тогда нужен 2-й преподаватель / аниматор (учтите в заработной плате)</t>
        </r>
      </text>
    </comment>
    <comment ref="E25" authorId="0" shapeId="0">
      <text>
        <r>
          <rPr>
            <sz val="9"/>
            <color indexed="81"/>
            <rFont val="Tahoma"/>
            <family val="2"/>
            <charset val="204"/>
          </rPr>
          <t>Сумма на одного человека за перекус, обед и ужин.
Питание можно заказывать (если заказывать, то необходимо купить холодильник, микроволновку и посуду) или ходить в столовую поблизости. Детям нужен перекус на завтрак (основной завтрак дома).
Указанная сумма будет умножена на 5 дней лагеря в неделе, умножена на количество детей и количество смен.</t>
        </r>
      </text>
    </comment>
    <comment ref="AK25" authorId="0" shapeId="0">
      <text>
        <r>
          <rPr>
            <sz val="9"/>
            <color indexed="81"/>
            <rFont val="Tahoma"/>
            <family val="2"/>
            <charset val="204"/>
          </rPr>
          <t>Фин. Модель разработал Гамов Виталий. 
Сеть клубов робототехники RobLab.ru</t>
        </r>
      </text>
    </comment>
    <comment ref="E26" authorId="0" shapeId="0">
      <text>
        <r>
          <rPr>
            <sz val="9"/>
            <color indexed="81"/>
            <rFont val="Tahoma"/>
            <family val="2"/>
            <charset val="204"/>
          </rPr>
          <t xml:space="preserve">Это могут быть игры в помещении (например, настольные), так и для свежем воздухе.
Указывается сумма расходов за год.
Эта сумма учитывается 1 раз в мае первого года, а затем повторяется в размере 1/3 в последующие годы
</t>
        </r>
      </text>
    </comment>
    <comment ref="C31" authorId="0" shapeId="0">
      <text>
        <r>
          <rPr>
            <sz val="9"/>
            <color indexed="81"/>
            <rFont val="Tahoma"/>
            <family val="2"/>
            <charset val="204"/>
          </rPr>
          <t>В этой ячейке показывается сумма, если она отличается от значения по умолчанию</t>
        </r>
      </text>
    </comment>
    <comment ref="E31" authorId="0" shapeId="0">
      <text>
        <r>
          <rPr>
            <sz val="9"/>
            <color indexed="81"/>
            <rFont val="Tahoma"/>
            <family val="2"/>
            <charset val="204"/>
          </rPr>
          <t>В этой строке не надо ни чего менять, справочно показывается итог за год от мастер-классов.</t>
        </r>
      </text>
    </comment>
  </commentList>
</comments>
</file>

<file path=xl/comments5.xml><?xml version="1.0" encoding="utf-8"?>
<comments xmlns="http://schemas.openxmlformats.org/spreadsheetml/2006/main">
  <authors>
    <author>Гамов Виталий</author>
  </authors>
  <commentList>
    <comment ref="B19" authorId="0" shapeId="0">
      <text>
        <r>
          <rPr>
            <sz val="9"/>
            <color indexed="81"/>
            <rFont val="Tahoma"/>
            <family val="2"/>
            <charset val="204"/>
          </rPr>
          <t xml:space="preserve">Комиссия за обслуживание не платится, комиссия оператору фискальных данных (ОФД) указывается суммой на листе "Данные" </t>
        </r>
      </text>
    </comment>
  </commentList>
</comments>
</file>

<file path=xl/comments6.xml><?xml version="1.0" encoding="utf-8"?>
<comments xmlns="http://schemas.openxmlformats.org/spreadsheetml/2006/main">
  <authors>
    <author>Гамов Виталий</author>
  </authors>
  <commentList>
    <comment ref="C5" authorId="0" shapeId="0">
      <text>
        <r>
          <rPr>
            <b/>
            <sz val="9"/>
            <color indexed="81"/>
            <rFont val="Tahoma"/>
            <family val="2"/>
            <charset val="204"/>
          </rPr>
          <t>Гамов Виталий:</t>
        </r>
        <r>
          <rPr>
            <sz val="9"/>
            <color indexed="81"/>
            <rFont val="Tahoma"/>
            <family val="2"/>
            <charset val="204"/>
          </rPr>
          <t xml:space="preserve">
Первый месяц покупки оборудования, франшизы и т.д. (не важно в какой месяц проект стартовал)</t>
        </r>
      </text>
    </comment>
    <comment ref="B33" authorId="0" shapeId="0">
      <text>
        <r>
          <rPr>
            <sz val="9"/>
            <color indexed="81"/>
            <rFont val="Tahoma"/>
            <family val="2"/>
            <charset val="204"/>
          </rPr>
          <t>Без учета паушального взноса и расходов на покупку оборудования</t>
        </r>
      </text>
    </comment>
    <comment ref="B41" authorId="0" shapeId="0">
      <text>
        <r>
          <rPr>
            <sz val="9"/>
            <color indexed="81"/>
            <rFont val="Tahoma"/>
            <family val="2"/>
            <charset val="204"/>
          </rPr>
          <t>Паушальный взнос и покупка оборудования</t>
        </r>
      </text>
    </comment>
  </commentList>
</comments>
</file>

<file path=xl/comments7.xml><?xml version="1.0" encoding="utf-8"?>
<comments xmlns="http://schemas.openxmlformats.org/spreadsheetml/2006/main">
  <authors>
    <author>Гамов Виталий</author>
  </authors>
  <commentList>
    <comment ref="B17" authorId="0" shapeId="0">
      <text>
        <r>
          <rPr>
            <b/>
            <sz val="9"/>
            <color indexed="81"/>
            <rFont val="Tahoma"/>
            <family val="2"/>
            <charset val="204"/>
          </rPr>
          <t>Гамов Виталий:</t>
        </r>
        <r>
          <rPr>
            <sz val="9"/>
            <color indexed="81"/>
            <rFont val="Tahoma"/>
            <family val="2"/>
            <charset val="204"/>
          </rPr>
          <t xml:space="preserve">
тут можно поставить другой месяц для экспериментов</t>
        </r>
      </text>
    </comment>
    <comment ref="C40" authorId="0" shapeId="0">
      <text>
        <r>
          <rPr>
            <b/>
            <sz val="9"/>
            <color indexed="81"/>
            <rFont val="Tahoma"/>
            <family val="2"/>
            <charset val="204"/>
          </rPr>
          <t>Гамов Виталий:</t>
        </r>
        <r>
          <rPr>
            <sz val="9"/>
            <color indexed="81"/>
            <rFont val="Tahoma"/>
            <family val="2"/>
            <charset val="204"/>
          </rPr>
          <t xml:space="preserve">
Месяц старта
</t>
        </r>
      </text>
    </comment>
    <comment ref="C41" authorId="0" shapeId="0">
      <text>
        <r>
          <rPr>
            <b/>
            <sz val="9"/>
            <color indexed="81"/>
            <rFont val="Tahoma"/>
            <family val="2"/>
            <charset val="204"/>
          </rPr>
          <t>Гамов Виталий:</t>
        </r>
        <r>
          <rPr>
            <sz val="9"/>
            <color indexed="81"/>
            <rFont val="Tahoma"/>
            <family val="2"/>
            <charset val="204"/>
          </rPr>
          <t xml:space="preserve">
Количество детей с учетом коэффициента</t>
        </r>
      </text>
    </comment>
  </commentList>
</comments>
</file>

<file path=xl/sharedStrings.xml><?xml version="1.0" encoding="utf-8"?>
<sst xmlns="http://schemas.openxmlformats.org/spreadsheetml/2006/main" count="548" uniqueCount="315">
  <si>
    <t>Арендная плата</t>
  </si>
  <si>
    <t>Уборка помещения</t>
  </si>
  <si>
    <t>Прочие расходы</t>
  </si>
  <si>
    <t>Год 1</t>
  </si>
  <si>
    <t>Год 2</t>
  </si>
  <si>
    <t>Год 3</t>
  </si>
  <si>
    <t>Описание</t>
  </si>
  <si>
    <t>Сентябрь</t>
  </si>
  <si>
    <t>Щелкните для перехода в настройки</t>
  </si>
  <si>
    <t>Октябрь</t>
  </si>
  <si>
    <t>Ноябрь</t>
  </si>
  <si>
    <t>Декабрь</t>
  </si>
  <si>
    <t>Январь</t>
  </si>
  <si>
    <t>Февраль</t>
  </si>
  <si>
    <t>Март</t>
  </si>
  <si>
    <t>Апрель</t>
  </si>
  <si>
    <t>Май</t>
  </si>
  <si>
    <t>Июнь</t>
  </si>
  <si>
    <t>Июль</t>
  </si>
  <si>
    <t>Август</t>
  </si>
  <si>
    <t>Итого</t>
  </si>
  <si>
    <t>Месяц для старта</t>
  </si>
  <si>
    <t>Месяц</t>
  </si>
  <si>
    <t>Месяц старта проекта</t>
  </si>
  <si>
    <t>Этапы покупки оборудования</t>
  </si>
  <si>
    <t>Сразу</t>
  </si>
  <si>
    <t>Активно</t>
  </si>
  <si>
    <t>Постепенно</t>
  </si>
  <si>
    <t>Стоимость оборудования</t>
  </si>
  <si>
    <t>Компьютер учителя</t>
  </si>
  <si>
    <t>Компьютер, мышь</t>
  </si>
  <si>
    <t>Стул</t>
  </si>
  <si>
    <t>Канцелярия</t>
  </si>
  <si>
    <t>Учебные роботы</t>
  </si>
  <si>
    <t>Служебное поле по умолчанию</t>
  </si>
  <si>
    <t>Всего</t>
  </si>
  <si>
    <t>Для расходов</t>
  </si>
  <si>
    <t>Для выручки</t>
  </si>
  <si>
    <t>Коэфф</t>
  </si>
  <si>
    <t>Расходы на ремонт</t>
  </si>
  <si>
    <t>Текущий</t>
  </si>
  <si>
    <t>Минимальный</t>
  </si>
  <si>
    <t>Средний</t>
  </si>
  <si>
    <t>Максимальный</t>
  </si>
  <si>
    <t>Метод расчета:</t>
  </si>
  <si>
    <t>Нет</t>
  </si>
  <si>
    <t>Клуб в Марьино</t>
  </si>
  <si>
    <t>Количество групп</t>
  </si>
  <si>
    <t>Служебное поле проверка значения</t>
  </si>
  <si>
    <t>Сообщение об ошибке (если есть)</t>
  </si>
  <si>
    <t>Месяц начала</t>
  </si>
  <si>
    <t>Колличество учеников на 1 мастер-классе</t>
  </si>
  <si>
    <t>Лагерь</t>
  </si>
  <si>
    <t>Расходы (чаепитие, подарки)</t>
  </si>
  <si>
    <t xml:space="preserve">Заработная плата преподавателю за 1 мастер-класс </t>
  </si>
  <si>
    <t>Лагерь или интенсив проводится во время школьных каникул. Если это зимние и весенние каникулы, то продолжительность 1 неделя, в данном расчете есть только летний интенсив</t>
  </si>
  <si>
    <t>Мастер-класс</t>
  </si>
  <si>
    <t>Ваше значение</t>
  </si>
  <si>
    <t>Да</t>
  </si>
  <si>
    <t>Значения для списков</t>
  </si>
  <si>
    <t>Модем</t>
  </si>
  <si>
    <t>Удлинители</t>
  </si>
  <si>
    <t>Паушальный взнос</t>
  </si>
  <si>
    <t>Значение для услуг</t>
  </si>
  <si>
    <t>Описание тарифа</t>
  </si>
  <si>
    <t>Стоимость франшизы</t>
  </si>
  <si>
    <t>Выручка</t>
  </si>
  <si>
    <t>Выручка в %</t>
  </si>
  <si>
    <t>Количество детей всего</t>
  </si>
  <si>
    <t>Количество детей в классе</t>
  </si>
  <si>
    <t>Стоимость абонемента</t>
  </si>
  <si>
    <t>Количество учеников в классе</t>
  </si>
  <si>
    <t>Столбец по умолчанию на листе данные</t>
  </si>
  <si>
    <t>Расходы на уборку</t>
  </si>
  <si>
    <t>Выручка на кол-во групп и детей</t>
  </si>
  <si>
    <t>Реклама</t>
  </si>
  <si>
    <t>Заработная плата преподавателя</t>
  </si>
  <si>
    <t>ЗП администратора</t>
  </si>
  <si>
    <t>Расходы на привлечение в %</t>
  </si>
  <si>
    <t>Расходы на привлечение в руб</t>
  </si>
  <si>
    <t>Заполняемость класса и выручка</t>
  </si>
  <si>
    <t>ДС</t>
  </si>
  <si>
    <t>Ученические наборы</t>
  </si>
  <si>
    <t>Коэффициент к стоимости:
1 = 100% - текущая цена, 1.1 = 110% - увеличение указанной цены на 10%, 0.95 = уменьшение указанной цены на 5%
(коэффициент стоимости можно изменять для регионов, где нельзя купить дешево или необходимо заложить сумму на логистику)</t>
  </si>
  <si>
    <t>Оборудование для администратора 
(если необходимо - стол, стул, компьютер, шкаф)</t>
  </si>
  <si>
    <t xml:space="preserve">Оборудование для преподавателя </t>
  </si>
  <si>
    <t>На каждого ученика 1-й год</t>
  </si>
  <si>
    <t>Интернет + телефон</t>
  </si>
  <si>
    <t>Стоимость абонемента за 4 занятия</t>
  </si>
  <si>
    <t>Заработная плата администратора</t>
  </si>
  <si>
    <t>Налоговая система</t>
  </si>
  <si>
    <t xml:space="preserve">Налоговая система </t>
  </si>
  <si>
    <t>Усн 6%</t>
  </si>
  <si>
    <t>Самозанятый 4%</t>
  </si>
  <si>
    <t>Без налогов 0%</t>
  </si>
  <si>
    <t>Учебные платы</t>
  </si>
  <si>
    <t>Проектор + экран</t>
  </si>
  <si>
    <t>Стол, тумба, стул</t>
  </si>
  <si>
    <t>Вывеска режим работы, 
вывеска над входом, промоматериалы</t>
  </si>
  <si>
    <t>Прочие расходы - вода</t>
  </si>
  <si>
    <t>Конструкторы</t>
  </si>
  <si>
    <t>Франшиза</t>
  </si>
  <si>
    <t>Аренда - обеспечительный платеж</t>
  </si>
  <si>
    <t>Обеспечительный платеж % от аренды</t>
  </si>
  <si>
    <t>Аренда + обеспечительный взнос</t>
  </si>
  <si>
    <t>% или ставка</t>
  </si>
  <si>
    <t>В рублях</t>
  </si>
  <si>
    <t>Налог на предпринимательскую деятельность</t>
  </si>
  <si>
    <t>Мои данные</t>
  </si>
  <si>
    <t>Если считается по урокам</t>
  </si>
  <si>
    <t>Рекомендованное значение</t>
  </si>
  <si>
    <t>Если считаем по месяцам</t>
  </si>
  <si>
    <t>Количество групп в неделю</t>
  </si>
  <si>
    <t>Налоги на заработную плату</t>
  </si>
  <si>
    <t>Налоги с заработной платы</t>
  </si>
  <si>
    <t>Полный</t>
  </si>
  <si>
    <t>0% - нет налогов</t>
  </si>
  <si>
    <t>Ввести базу</t>
  </si>
  <si>
    <t>Налоги на зарплату</t>
  </si>
  <si>
    <t>База для налога</t>
  </si>
  <si>
    <t>НДФЛ 13%</t>
  </si>
  <si>
    <t>ПФР 22%</t>
  </si>
  <si>
    <t>ФФОМС 5.1</t>
  </si>
  <si>
    <t>ФСС 2.9</t>
  </si>
  <si>
    <t>ФСС 0.2</t>
  </si>
  <si>
    <t>Все налоги</t>
  </si>
  <si>
    <t>Мастер-классы</t>
  </si>
  <si>
    <t>Каникулы - интенсив</t>
  </si>
  <si>
    <t xml:space="preserve"> </t>
  </si>
  <si>
    <t>Интенсив</t>
  </si>
  <si>
    <t>Количество мастер-классов в год</t>
  </si>
  <si>
    <t>Стоимость мастер-класса</t>
  </si>
  <si>
    <t>Расходы на маркетинг</t>
  </si>
  <si>
    <t>Сообщение об ошибке</t>
  </si>
  <si>
    <t>Кассовое, банковское обслуживание</t>
  </si>
  <si>
    <t>Комиссия за прием платежей %</t>
  </si>
  <si>
    <t>Расходы на банковское обслуживание</t>
  </si>
  <si>
    <t>Расходы за прием платежей</t>
  </si>
  <si>
    <t>Шкафы для оборудования / 3
(1 шкаф на 3-х учеников)</t>
  </si>
  <si>
    <t>Патент</t>
  </si>
  <si>
    <t>Стоимость с ученика за смену</t>
  </si>
  <si>
    <t>Расходы на питание. Сумма на одного человека за перекус, обед и ужин</t>
  </si>
  <si>
    <t>Вода, связь, интернет (за смену)</t>
  </si>
  <si>
    <t>Расходы на аниматора (за смену)</t>
  </si>
  <si>
    <t>Расходы на преподавателя (за смену)</t>
  </si>
  <si>
    <t>Расходы на администратора - если есть (за смену)</t>
  </si>
  <si>
    <t xml:space="preserve">Колличество детей в смене. </t>
  </si>
  <si>
    <t>Колличество смен летом (смена 15 дней)</t>
  </si>
  <si>
    <t xml:space="preserve">Расходы на оборудование образователые игры, игрушки для игр на свежем воздухе </t>
  </si>
  <si>
    <t>Расходы (чаепитие, подарки) на каждого ученика</t>
  </si>
  <si>
    <t>Сумма</t>
  </si>
  <si>
    <t>Прочие расходы (маркетинг)</t>
  </si>
  <si>
    <t>Итого доход за мастер-классы за год:</t>
  </si>
  <si>
    <t>Летний интенсив / лагерь</t>
  </si>
  <si>
    <t>Коэффициент наполняемости групп</t>
  </si>
  <si>
    <t>Данные для диаграммы</t>
  </si>
  <si>
    <t>Заполняемость класса</t>
  </si>
  <si>
    <t>Наглядно - количество человек в группе по месяцам (слева - количество человек в классе, справа - количество обучающихся всего)</t>
  </si>
  <si>
    <t>Заполняемость кабинета</t>
  </si>
  <si>
    <t>Диаграмма по количеству</t>
  </si>
  <si>
    <t>Итого доход за летний интенсив за год:</t>
  </si>
  <si>
    <t>Расходы на питание</t>
  </si>
  <si>
    <t>Расходы на продвижение</t>
  </si>
  <si>
    <t>Заработная плата администратор</t>
  </si>
  <si>
    <t>Заработная плата преподаватель / аниматор</t>
  </si>
  <si>
    <t>Расходы на продвижение / маркетинг (за смену)</t>
  </si>
  <si>
    <t>Игрушки и оборудование</t>
  </si>
  <si>
    <t>Заполняемость класса в процентах за 3 года</t>
  </si>
  <si>
    <t>Заработная плата преподаватель</t>
  </si>
  <si>
    <t xml:space="preserve">Пример списка, поставьте курсор в это поле: </t>
  </si>
  <si>
    <t>Пример списка, поставьте курсор в это поле: Значение 1</t>
  </si>
  <si>
    <t>Пример списка, поставьте курсор в это поле: Значение 2</t>
  </si>
  <si>
    <t>Расчетная сумма</t>
  </si>
  <si>
    <t>Если расчет больше вместимости - вместимость</t>
  </si>
  <si>
    <t>Арендная плата + коммунальные платежи</t>
  </si>
  <si>
    <t>УСН 6%</t>
  </si>
  <si>
    <t>Коммуналка</t>
  </si>
  <si>
    <t>Принтер, канцелярия</t>
  </si>
  <si>
    <t>Доска, маркеры, стёрки</t>
  </si>
  <si>
    <t>Мастер-класс - это отличная возможность заполнить помещение во время праздников и возможность дополнительного заработка. Кроме того, ученики часто приводят друзей, которые еще не учатся в клубе и - потенциальные клиенты. 
Для упрощения расчета сумма будет разнесена в равной пропорции на январь, февраль и март на каждый год.</t>
  </si>
  <si>
    <t>Количество учеников на 1 мастер-классе</t>
  </si>
  <si>
    <t>3D принтер и расходники</t>
  </si>
  <si>
    <t>Батарейки</t>
  </si>
  <si>
    <t>Оборудование</t>
  </si>
  <si>
    <t>Текущий ремонт помещения. 
Покраска, шторы, освещение и тд, мусорные ведра. Огнетушители (изготовление схемы эвакуации и табло выход - если помещений много). (если необходимо)</t>
  </si>
  <si>
    <t>Оборудование для зоны ожидания 
(если необходимо - стулья для родителей по количеству учеников + 20%, вешалка напольная, стол, чайник, желательно микроволновку для преподавателей, иногда родители кормят детей). Раздевалка для преподавателей</t>
  </si>
  <si>
    <t>Дальше идут вспомогательные листы они не видны пользователю</t>
  </si>
  <si>
    <t>−</t>
  </si>
  <si>
    <t>β!</t>
  </si>
  <si>
    <t>Условия покупки франшизы</t>
  </si>
  <si>
    <t xml:space="preserve">Месяц старта проекта </t>
  </si>
  <si>
    <t>Тип статистики для расчета результата</t>
  </si>
  <si>
    <t>Инвестиции</t>
  </si>
  <si>
    <t>Роялти</t>
  </si>
  <si>
    <t>Срок окупаемости</t>
  </si>
  <si>
    <t>Тип франшизы школы</t>
  </si>
  <si>
    <t>Данные для расчета посещаемости</t>
  </si>
  <si>
    <t>Данные для расчета затрат на оборудование</t>
  </si>
  <si>
    <t xml:space="preserve">Дополнительные мастер-классы </t>
  </si>
  <si>
    <t>Деятельность во время каникул</t>
  </si>
  <si>
    <t>Данные для расчета других затрат, кроме оборудования</t>
  </si>
  <si>
    <t xml:space="preserve">Заработная плата преподавателя </t>
  </si>
  <si>
    <t xml:space="preserve">Прочие расходы </t>
  </si>
  <si>
    <t>Налоги</t>
  </si>
  <si>
    <t>Данные для расчета затрат на персонал</t>
  </si>
  <si>
    <t xml:space="preserve">Количество учеников в классе </t>
  </si>
  <si>
    <t>Стол / 2 (1 стол на 2-х человек)</t>
  </si>
  <si>
    <r>
      <rPr>
        <b/>
        <sz val="18"/>
        <color rgb="FF0066CC"/>
        <rFont val="Calibri"/>
        <family val="2"/>
        <charset val="204"/>
        <scheme val="minor"/>
      </rPr>
      <t xml:space="preserve">Франшиза </t>
    </r>
    <r>
      <rPr>
        <b/>
        <sz val="18"/>
        <color rgb="FFFFCC66"/>
        <rFont val="Calibri"/>
        <family val="2"/>
        <charset val="204"/>
        <scheme val="minor"/>
      </rPr>
      <t>сети клубов</t>
    </r>
    <r>
      <rPr>
        <b/>
        <sz val="18"/>
        <color rgb="FF000099"/>
        <rFont val="Calibri"/>
        <family val="2"/>
        <charset val="204"/>
        <scheme val="minor"/>
      </rPr>
      <t xml:space="preserve"> </t>
    </r>
    <r>
      <rPr>
        <b/>
        <sz val="18"/>
        <color rgb="FF0066CC"/>
        <rFont val="Calibri"/>
        <family val="2"/>
        <charset val="204"/>
        <scheme val="minor"/>
      </rPr>
      <t>робототехники</t>
    </r>
  </si>
  <si>
    <t>На каждого 2-й год</t>
  </si>
  <si>
    <t>На каждого 3-й год</t>
  </si>
  <si>
    <t>Хотите поговорить об этом? +7 (909) 641 6430 Виталий</t>
  </si>
  <si>
    <t>Ο</t>
  </si>
  <si>
    <t>Количество учеников в школе</t>
  </si>
  <si>
    <t>Расходы на заработную плату</t>
  </si>
  <si>
    <t>в т.ч. выручка основная</t>
  </si>
  <si>
    <t>в т.ч. выручка от мастер-классов</t>
  </si>
  <si>
    <t>в т.ч. выручка от проведения интенсива (лагеря)</t>
  </si>
  <si>
    <t>Паушальный взнос / роялти (ежемесячный платеж)</t>
  </si>
  <si>
    <t>в т.ч. зарплата преподавателя</t>
  </si>
  <si>
    <t>в т.ч. зарплата администратора</t>
  </si>
  <si>
    <t>в т.ч. НДФЛ 13%</t>
  </si>
  <si>
    <t>в т.ч. ПФР 22%</t>
  </si>
  <si>
    <t>в т.ч. ФФОМС 5.1%</t>
  </si>
  <si>
    <t>в т.ч. ФСС 2.9%</t>
  </si>
  <si>
    <t>в т.ч. ФСС 0.2%</t>
  </si>
  <si>
    <t>в т.ч. банковское / кассовое обслуживание</t>
  </si>
  <si>
    <t>в т.ч. комиссия за прием платежей</t>
  </si>
  <si>
    <t>в т.ч. расходы на содержание офиса и другое</t>
  </si>
  <si>
    <t>Налоги на предпринимательскую деятельность</t>
  </si>
  <si>
    <t>Расходы на аренду помещения</t>
  </si>
  <si>
    <t>Расходы на привлечение клиентов</t>
  </si>
  <si>
    <t>в т.ч. на покупку оборудования</t>
  </si>
  <si>
    <t>1 год проекта</t>
  </si>
  <si>
    <t>2 год проекта</t>
  </si>
  <si>
    <t>3 год проекта</t>
  </si>
  <si>
    <t>Итого результат проекта за 3 года</t>
  </si>
  <si>
    <t>ВАШ ФИНАНСОВЫЙ РЕЗУЛЬТАТ накопленным итогом</t>
  </si>
  <si>
    <t>Месяц затрат</t>
  </si>
  <si>
    <t>Столбец</t>
  </si>
  <si>
    <t>ячейка с комментарием (наведите курсор на ячейку)</t>
  </si>
  <si>
    <t>Окупаемость</t>
  </si>
  <si>
    <t>Щелкните для перехода на страницу просмотра финансового результата</t>
  </si>
  <si>
    <t>Наименование показателя</t>
  </si>
  <si>
    <t>Щелкните для перехода на страницу изменения данных по умолчанию</t>
  </si>
  <si>
    <r>
      <t xml:space="preserve">Детальные данные →
</t>
    </r>
    <r>
      <rPr>
        <sz val="8"/>
        <rFont val="Calibri"/>
        <family val="2"/>
        <charset val="204"/>
      </rPr>
      <t>повторение данных из таблицы слева, если неудобно смотреть свернуто</t>
    </r>
  </si>
  <si>
    <t>диаграмма по выручке</t>
  </si>
  <si>
    <t>Летний интенсив</t>
  </si>
  <si>
    <t>Основная за занятия</t>
  </si>
  <si>
    <t>Выручка общая с разделением по группам. За 3 года</t>
  </si>
  <si>
    <t>ячейки не изменяются и показывают текущее значение по умолчанию для выбранного сценария</t>
  </si>
  <si>
    <t>обратить внимание (пояснения к расчету). Пояснения написаны либо рядом, либо в комментарии</t>
  </si>
  <si>
    <t>Приступаем к расчету</t>
  </si>
  <si>
    <t>Онлайн</t>
  </si>
  <si>
    <t>ДОУ</t>
  </si>
  <si>
    <t>Если не указано иное, то ниже затраты ежемесячные</t>
  </si>
  <si>
    <t>Расходы на привлечение (реклама) год!</t>
  </si>
  <si>
    <r>
      <t>На листе "</t>
    </r>
    <r>
      <rPr>
        <b/>
        <sz val="11"/>
        <rFont val="Calibri"/>
        <family val="2"/>
        <charset val="204"/>
        <scheme val="minor"/>
      </rPr>
      <t>Выбор франшизы</t>
    </r>
    <r>
      <rPr>
        <sz val="11"/>
        <rFont val="Calibri"/>
        <family val="2"/>
        <charset val="204"/>
        <scheme val="minor"/>
      </rPr>
      <t>" выберите месяц старта и тип франшизы. Список допустимых значений показывается, когда вы встаете на ячейку со списком. Рядом появляется кнопка. Нажмите на нее для просмотра списка и выбора значения.</t>
    </r>
  </si>
  <si>
    <r>
      <t>Для удобства просмотра финансовых результатов в зависимости от изменяемых параметров рекомендуем открыть второе окно (меню "Вид" -&gt; "Новое окно") - в старых версиях Excel такой опции нет, выбрать во втором окне лист "</t>
    </r>
    <r>
      <rPr>
        <b/>
        <sz val="11"/>
        <rFont val="Calibri"/>
        <family val="2"/>
        <charset val="204"/>
        <scheme val="minor"/>
      </rPr>
      <t>Результат</t>
    </r>
    <r>
      <rPr>
        <sz val="11"/>
        <rFont val="Calibri"/>
        <family val="2"/>
        <charset val="204"/>
        <scheme val="minor"/>
      </rPr>
      <t>", в первом - менять параметры на листе "</t>
    </r>
    <r>
      <rPr>
        <b/>
        <sz val="11"/>
        <rFont val="Calibri"/>
        <family val="2"/>
        <charset val="204"/>
        <scheme val="minor"/>
      </rPr>
      <t>Вводные</t>
    </r>
    <r>
      <rPr>
        <sz val="11"/>
        <rFont val="Calibri"/>
        <family val="2"/>
        <charset val="204"/>
        <scheme val="minor"/>
      </rPr>
      <t>" и перемещаться между окнами (одновременным нажатием клавиш Alt + Tab).</t>
    </r>
  </si>
  <si>
    <t>Прочие расходы (ежегодно)</t>
  </si>
  <si>
    <t>Прочие расходы - ежегодно</t>
  </si>
  <si>
    <t>Прочие услуги - ежегодно</t>
  </si>
  <si>
    <t>Тариф подходит для тех, у кого уже есть детский клуб, школа или опыт создания бизнеса. Включает все материалы и услуги из тарифа "Начинающий", но в формате видеоуроков.</t>
  </si>
  <si>
    <t>Начинающий</t>
  </si>
  <si>
    <t>i</t>
  </si>
  <si>
    <t>Тип статистики по умолчанию</t>
  </si>
  <si>
    <t>Ежемесячный платеж со второго месяца работы</t>
  </si>
  <si>
    <t>Оплачивается единовременно при заключении договора</t>
  </si>
  <si>
    <t>Сумма начальных вложений с учетом паушального взноса</t>
  </si>
  <si>
    <t>Не выбрано</t>
  </si>
  <si>
    <t>Набор Lego</t>
  </si>
  <si>
    <t>Кассовый аппарат (регистрация и плата за обслуживание)</t>
  </si>
  <si>
    <t>По умолчанию</t>
  </si>
  <si>
    <t>Обращайте внимание на комментарии к ячейкам, они отмечены красным треугольником в верхнем правом углу ячейки, например, как здесь.</t>
  </si>
  <si>
    <t>Для начинающих предпринимателей, подробно рассматривается как создать бизнес, предоставляются все материалы, проводится обучение руководителя, преподавателя и администратора</t>
  </si>
  <si>
    <t>Тариф включает уроки для занятий на конструкторе лего и обучение основам программирования. Подходит для занятий в детских образовательных учреждениях с детьми от 5 до 8 лет</t>
  </si>
  <si>
    <t>ячейки для ручного ввода или выбора из раскрывающегося списка</t>
  </si>
  <si>
    <t>Ячейки для ручного ввода необходимы для изменения значения по умолчанию. Если эту ячейку не заполнять, то для расчета будет взято значение по умолчанию, если заполнить неправильно, то в расчетах будет использоваться значение по умолчанию. 
Таким образом, вы можете корректировать модель, делая ее более консервативной, или посмотреть оптимистичные сценарии.</t>
  </si>
  <si>
    <r>
      <rPr>
        <b/>
        <sz val="11"/>
        <rFont val="Calibri"/>
        <family val="2"/>
        <charset val="204"/>
        <scheme val="minor"/>
      </rPr>
      <t>Информация по расчету</t>
    </r>
    <r>
      <rPr>
        <sz val="11"/>
        <rFont val="Calibri"/>
        <family val="2"/>
        <charset val="204"/>
        <scheme val="minor"/>
      </rPr>
      <t>:
Количество уроков вычисляется исходя из вместимости класса, количества уроков в неделю на основании статистических данных развития и посещаемости (если открыться в сентябре, детей будет больше, чем в ноябре; в январе и в мае есть отток учеников, при этом есть желающие начать обучение в течение всего года, т.е. можно открывать новые группы). В следующем году вы набираете новых детей + приходят дети с предыдущего года. 
Необходимо понимать, если у вас одно помещение, то найти время для группы, которое всем подходит, будет сложнее, но группы будут заполняться лучше.</t>
    </r>
  </si>
  <si>
    <r>
      <rPr>
        <b/>
        <sz val="11"/>
        <rFont val="Calibri"/>
        <family val="2"/>
        <charset val="204"/>
        <scheme val="minor"/>
      </rPr>
      <t>Важно!</t>
    </r>
    <r>
      <rPr>
        <sz val="11"/>
        <rFont val="Calibri"/>
        <family val="2"/>
        <charset val="204"/>
        <scheme val="minor"/>
      </rPr>
      <t xml:space="preserve"> На листе "</t>
    </r>
    <r>
      <rPr>
        <b/>
        <sz val="11"/>
        <rFont val="Calibri"/>
        <family val="2"/>
        <charset val="204"/>
        <scheme val="minor"/>
      </rPr>
      <t>Вводные</t>
    </r>
    <r>
      <rPr>
        <sz val="11"/>
        <rFont val="Calibri"/>
        <family val="2"/>
        <charset val="204"/>
        <scheme val="minor"/>
      </rPr>
      <t>" есть параметр "</t>
    </r>
    <r>
      <rPr>
        <b/>
        <sz val="11"/>
        <rFont val="Calibri"/>
        <family val="2"/>
        <charset val="204"/>
        <scheme val="minor"/>
      </rPr>
      <t>Коэффициент заполнения групп</t>
    </r>
    <r>
      <rPr>
        <sz val="11"/>
        <rFont val="Calibri"/>
        <family val="2"/>
        <charset val="204"/>
        <scheme val="minor"/>
      </rPr>
      <t>", его можно менять, анализируя изменение количества учеников в классе и связь с финансовым результатом. Если коэффициент будет больше 1, то при достижении вместимости класса численность учеников будет равна максимальной и не будет меняться выше, если коэффициент будет меньше 1, и расчетное количество учеников на уроке будет меньше 2-х в классе, количество будет = 2, иначе нет целесообразности запуска группы.</t>
    </r>
  </si>
  <si>
    <t>Ниже Вы можете посмотреть параметры, по которым посчитан финансовый результат, и поставить свои значения в столбец 'Мои данные'</t>
  </si>
  <si>
    <t xml:space="preserve">Количество мастер-классов в год </t>
  </si>
  <si>
    <t xml:space="preserve">Стоимость мастер-класса </t>
  </si>
  <si>
    <t>Количество детей в смене</t>
  </si>
  <si>
    <t xml:space="preserve">Количество смен летом </t>
  </si>
  <si>
    <t>Расходы на питание (на каждого ученика)</t>
  </si>
  <si>
    <t>Расходы на образовательные игры</t>
  </si>
  <si>
    <t>Расходы на администратора (если есть, за смену)</t>
  </si>
  <si>
    <r>
      <rPr>
        <b/>
        <sz val="10"/>
        <rFont val="Calibri"/>
        <family val="2"/>
        <charset val="204"/>
        <scheme val="minor"/>
      </rPr>
      <t>ДС</t>
    </r>
    <r>
      <rPr>
        <sz val="10"/>
        <rFont val="Calibri"/>
        <family val="2"/>
        <charset val="204"/>
        <scheme val="minor"/>
      </rPr>
      <t xml:space="preserve"> - это только то оборудование, которое входит в пакет для детского образовательного учреждения</t>
    </r>
  </si>
  <si>
    <t>Расходы</t>
  </si>
  <si>
    <t>Здесь собран финансовый результат по годам, анализ изменения год к году, правее показан результат за каждый месяц</t>
  </si>
  <si>
    <t>Инвестицион-ный период</t>
  </si>
  <si>
    <t>Прирост в руб. 
год к году 2 к 1</t>
  </si>
  <si>
    <t>Прирост в %% 
год к году 2 к 1</t>
  </si>
  <si>
    <t>Прирост в руб. 
год к году 3 к 2</t>
  </si>
  <si>
    <t>Прирост в %% 
год к году 3 к 2</t>
  </si>
  <si>
    <t>Текущие расходы</t>
  </si>
  <si>
    <t>Инвестиционные расходы</t>
  </si>
  <si>
    <t>ВАШ ФИНАНСОВЫЙ РЕЗУЛЬТАТ текущий, %%</t>
  </si>
  <si>
    <t>ВАШ ФИНАНСОВЫЙ РЕЗУЛЬТАТ после оплаты текущих расходов</t>
  </si>
  <si>
    <t>ВАШ ФИНАНСОВЫЙ РЕЗУЛЬТАТ после оплаты инвестиционных расходов</t>
  </si>
  <si>
    <t>Расходы на покупку и восстановление оборудования</t>
  </si>
  <si>
    <t>в т.ч. на восстановление оборудования</t>
  </si>
  <si>
    <t>Фин. модель разработал Гамов Виталий</t>
  </si>
  <si>
    <t>Количество обучающихся</t>
  </si>
  <si>
    <t>Отток</t>
  </si>
  <si>
    <t>Новые ученики</t>
  </si>
  <si>
    <t>Количество обучающихся (приток, отток)</t>
  </si>
  <si>
    <t>Файл подготовил Гамов Виталий</t>
  </si>
  <si>
    <t>В файле есть ячейки, которые можно менять, другие менять нельзя. Они показывают значение по умолчанию 
(не изменяются), см. цвет:</t>
  </si>
  <si>
    <r>
      <t>После того, как заполнен лист "</t>
    </r>
    <r>
      <rPr>
        <b/>
        <sz val="11"/>
        <rFont val="Calibri"/>
        <family val="2"/>
        <charset val="204"/>
        <scheme val="minor"/>
      </rPr>
      <t>Вводные</t>
    </r>
    <r>
      <rPr>
        <sz val="11"/>
        <rFont val="Calibri"/>
        <family val="2"/>
        <charset val="204"/>
        <scheme val="minor"/>
      </rPr>
      <t>", перейдите к листу "</t>
    </r>
    <r>
      <rPr>
        <b/>
        <sz val="11"/>
        <rFont val="Calibri"/>
        <family val="2"/>
        <charset val="204"/>
        <scheme val="minor"/>
      </rPr>
      <t>Дополнительные услуги</t>
    </r>
    <r>
      <rPr>
        <sz val="11"/>
        <rFont val="Calibri"/>
        <family val="2"/>
        <charset val="204"/>
        <scheme val="minor"/>
      </rPr>
      <t>". На этом листе собраны дополнительные источники получения денег. Лист заполняется в аналогичном порядке.</t>
    </r>
  </si>
  <si>
    <r>
      <t>На листе "</t>
    </r>
    <r>
      <rPr>
        <b/>
        <sz val="11"/>
        <rFont val="Calibri"/>
        <family val="2"/>
        <charset val="204"/>
        <scheme val="minor"/>
      </rPr>
      <t>Оборудование</t>
    </r>
    <r>
      <rPr>
        <sz val="11"/>
        <rFont val="Calibri"/>
        <family val="2"/>
        <charset val="204"/>
        <scheme val="minor"/>
      </rPr>
      <t>" можно посмотреть список оборудования, рекомендованный к покупке. 
Добавить / убрать необходимое оборудование (например, если у вас уже есть детский центр), или вы решили что-то добавить в этот список.
Данные на этом листе организованны следующим образом:
В первом столбце оборудование к закупке в единственном экземпляре.
В следующих столбцах оборудование для учеников, сумма автоматически умножается на количество учеников в классе, указанном на листе "</t>
    </r>
    <r>
      <rPr>
        <b/>
        <sz val="11"/>
        <rFont val="Calibri"/>
        <family val="2"/>
        <charset val="204"/>
        <scheme val="minor"/>
      </rPr>
      <t>Данные</t>
    </r>
    <r>
      <rPr>
        <sz val="11"/>
        <rFont val="Calibri"/>
        <family val="2"/>
        <charset val="204"/>
        <scheme val="minor"/>
      </rPr>
      <t>".</t>
    </r>
  </si>
  <si>
    <r>
      <t>На листе "</t>
    </r>
    <r>
      <rPr>
        <b/>
        <sz val="11"/>
        <rFont val="Calibri"/>
        <family val="2"/>
        <charset val="204"/>
        <scheme val="minor"/>
      </rPr>
      <t>Результат"</t>
    </r>
    <r>
      <rPr>
        <sz val="11"/>
        <rFont val="Calibri"/>
        <family val="2"/>
        <charset val="204"/>
        <scheme val="minor"/>
      </rPr>
      <t xml:space="preserve"> можно посмотреть финансовый результат по ранее заданным параметрам. 
Ниже есть графики, на которых наглядно показано количество учеников в группе и в клубе, на основе которого сделан расчет, график заполняемости помещения и другие визуальные представления разультата работы за 3 года.</t>
    </r>
  </si>
  <si>
    <r>
      <t xml:space="preserve">Создавая эту финансовую модель, мы постарались учесть основные нюансы работы, отсюда появились многочисленные параметры.
Чтобы освоиться, выполните простой расчет по шагам:
1 - Выбрать </t>
    </r>
    <r>
      <rPr>
        <b/>
        <sz val="11"/>
        <rFont val="Calibri"/>
        <family val="2"/>
        <charset val="204"/>
        <scheme val="minor"/>
      </rPr>
      <t>Месяц старта</t>
    </r>
    <r>
      <rPr>
        <sz val="11"/>
        <rFont val="Calibri"/>
        <family val="2"/>
        <charset val="204"/>
        <scheme val="minor"/>
      </rPr>
      <t xml:space="preserve"> (например, текущий) и</t>
    </r>
    <r>
      <rPr>
        <b/>
        <sz val="11"/>
        <rFont val="Calibri"/>
        <family val="2"/>
        <charset val="204"/>
        <scheme val="minor"/>
      </rPr>
      <t xml:space="preserve"> Тип сотрудничества</t>
    </r>
    <r>
      <rPr>
        <sz val="11"/>
        <rFont val="Calibri"/>
        <family val="2"/>
        <charset val="204"/>
        <scheme val="minor"/>
      </rPr>
      <t xml:space="preserve"> на странице "</t>
    </r>
    <r>
      <rPr>
        <b/>
        <sz val="11"/>
        <rFont val="Calibri"/>
        <family val="2"/>
        <charset val="204"/>
        <scheme val="minor"/>
      </rPr>
      <t>Выбор франшизы</t>
    </r>
    <r>
      <rPr>
        <sz val="11"/>
        <rFont val="Calibri"/>
        <family val="2"/>
        <charset val="204"/>
        <scheme val="minor"/>
      </rPr>
      <t>"
2 - На листе "</t>
    </r>
    <r>
      <rPr>
        <b/>
        <sz val="11"/>
        <rFont val="Calibri"/>
        <family val="2"/>
        <charset val="204"/>
        <scheme val="minor"/>
      </rPr>
      <t>Вводные</t>
    </r>
    <r>
      <rPr>
        <sz val="11"/>
        <rFont val="Calibri"/>
        <family val="2"/>
        <charset val="204"/>
        <scheme val="minor"/>
      </rPr>
      <t>" меняйте параметр "</t>
    </r>
    <r>
      <rPr>
        <b/>
        <sz val="11"/>
        <rFont val="Calibri"/>
        <family val="2"/>
        <charset val="204"/>
        <scheme val="minor"/>
      </rPr>
      <t>Тип статистики</t>
    </r>
    <r>
      <rPr>
        <sz val="11"/>
        <rFont val="Calibri"/>
        <family val="2"/>
        <charset val="204"/>
        <scheme val="minor"/>
      </rPr>
      <t>" для просмотра различных результатов "По умолчанию" на листе "</t>
    </r>
    <r>
      <rPr>
        <b/>
        <sz val="11"/>
        <rFont val="Calibri"/>
        <family val="2"/>
        <charset val="204"/>
        <scheme val="minor"/>
      </rPr>
      <t>Результат</t>
    </r>
    <r>
      <rPr>
        <sz val="11"/>
        <rFont val="Calibri"/>
        <family val="2"/>
        <charset val="204"/>
        <scheme val="minor"/>
      </rPr>
      <t>"
3 - Освоились? Ставьте свои значения создавая различные сценарии. Не получилось / сложно? Звоните, поможем!</t>
    </r>
  </si>
  <si>
    <r>
      <t>На листе "</t>
    </r>
    <r>
      <rPr>
        <b/>
        <sz val="11"/>
        <rFont val="Calibri"/>
        <family val="2"/>
        <charset val="204"/>
        <scheme val="minor"/>
      </rPr>
      <t>Вводные"</t>
    </r>
    <r>
      <rPr>
        <sz val="11"/>
        <rFont val="Calibri"/>
        <family val="2"/>
        <charset val="204"/>
        <scheme val="minor"/>
      </rPr>
      <t xml:space="preserve"> собраны основные параметры для финансовой модели. 
За данные по умолчанию отвечает параметр "Тип статистики для расчета результата".</t>
    </r>
  </si>
  <si>
    <t>Расчет окупаемости можно проводить как в автоматическом режиме, используя параметры по умолчанию для различных сценариев, так и изменять вручную, создавая свой сценарий.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</si>
</sst>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 _₽_-;\-* #,##0\ _₽_-;_-* &quot;-&quot;??\ _₽_-;_-@_-"/>
    <numFmt numFmtId="165" formatCode="[Green]#,##0;[Red]\-#,##0;@"/>
  </numFmts>
  <fonts count="5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name val="Calibri"/>
      <family val="2"/>
      <charset val="204"/>
      <scheme val="minor"/>
    </font>
    <font>
      <b/>
      <sz val="11"/>
      <name val="Calibri"/>
      <family val="2"/>
      <charset val="204"/>
      <scheme val="minor"/>
    </font>
    <font>
      <sz val="11"/>
      <color rgb="FFFF0000"/>
      <name val="Calibri"/>
      <family val="2"/>
      <charset val="204"/>
      <scheme val="minor"/>
    </font>
    <font>
      <u/>
      <sz val="11"/>
      <color theme="10"/>
      <name val="Calibri"/>
      <family val="2"/>
      <charset val="204"/>
      <scheme val="minor"/>
    </font>
    <font>
      <sz val="9"/>
      <color indexed="81"/>
      <name val="Tahoma"/>
      <family val="2"/>
      <charset val="204"/>
    </font>
    <font>
      <b/>
      <sz val="9"/>
      <color indexed="81"/>
      <name val="Tahoma"/>
      <family val="2"/>
      <charset val="204"/>
    </font>
    <font>
      <sz val="10"/>
      <color rgb="FFFF0000"/>
      <name val="Calibri"/>
      <family val="2"/>
      <charset val="204"/>
      <scheme val="minor"/>
    </font>
    <font>
      <b/>
      <u/>
      <sz val="11"/>
      <color theme="10"/>
      <name val="Calibri"/>
      <family val="2"/>
      <charset val="204"/>
      <scheme val="minor"/>
    </font>
    <font>
      <sz val="10"/>
      <color theme="1"/>
      <name val="Calibri"/>
      <family val="2"/>
      <charset val="204"/>
      <scheme val="minor"/>
    </font>
    <font>
      <b/>
      <sz val="10"/>
      <color theme="1"/>
      <name val="Calibri"/>
      <family val="2"/>
      <charset val="204"/>
    </font>
    <font>
      <b/>
      <sz val="10"/>
      <color theme="1"/>
      <name val="Calibri"/>
      <family val="2"/>
      <charset val="204"/>
      <scheme val="minor"/>
    </font>
    <font>
      <sz val="10"/>
      <name val="Calibri"/>
      <family val="2"/>
      <charset val="204"/>
      <scheme val="minor"/>
    </font>
    <font>
      <u/>
      <sz val="10"/>
      <color theme="10"/>
      <name val="Calibri"/>
      <family val="2"/>
      <charset val="204"/>
      <scheme val="minor"/>
    </font>
    <font>
      <b/>
      <sz val="10"/>
      <name val="Calibri"/>
      <family val="2"/>
      <charset val="204"/>
      <scheme val="minor"/>
    </font>
    <font>
      <b/>
      <sz val="18"/>
      <color rgb="FF000099"/>
      <name val="Calibri"/>
      <family val="2"/>
      <charset val="204"/>
      <scheme val="minor"/>
    </font>
    <font>
      <b/>
      <sz val="18"/>
      <color rgb="FFFFCC66"/>
      <name val="Calibri"/>
      <family val="2"/>
      <charset val="204"/>
      <scheme val="minor"/>
    </font>
    <font>
      <i/>
      <sz val="10"/>
      <name val="Calibri"/>
      <family val="2"/>
      <charset val="204"/>
      <scheme val="minor"/>
    </font>
    <font>
      <b/>
      <sz val="10"/>
      <color rgb="FFFF0000"/>
      <name val="Calibri"/>
      <family val="2"/>
      <charset val="204"/>
      <scheme val="minor"/>
    </font>
    <font>
      <b/>
      <sz val="10"/>
      <color theme="8"/>
      <name val="Calibri"/>
      <family val="2"/>
      <charset val="204"/>
      <scheme val="minor"/>
    </font>
    <font>
      <b/>
      <sz val="18"/>
      <color rgb="FF0066CC"/>
      <name val="Calibri"/>
      <family val="2"/>
      <charset val="204"/>
      <scheme val="minor"/>
    </font>
    <font>
      <b/>
      <sz val="12"/>
      <color theme="1"/>
      <name val="Calibri"/>
      <family val="2"/>
      <charset val="204"/>
      <scheme val="minor"/>
    </font>
    <font>
      <sz val="12"/>
      <color theme="1"/>
      <name val="Calibri"/>
      <family val="2"/>
      <charset val="204"/>
      <scheme val="minor"/>
    </font>
    <font>
      <b/>
      <sz val="14"/>
      <color theme="1"/>
      <name val="Calibri"/>
      <family val="2"/>
      <charset val="204"/>
      <scheme val="minor"/>
    </font>
    <font>
      <sz val="16"/>
      <color theme="1"/>
      <name val="Calibri"/>
      <family val="2"/>
      <charset val="204"/>
      <scheme val="minor"/>
    </font>
    <font>
      <b/>
      <sz val="14"/>
      <color rgb="FF0033CC"/>
      <name val="Calibri"/>
      <family val="2"/>
      <charset val="204"/>
      <scheme val="minor"/>
    </font>
    <font>
      <sz val="8"/>
      <name val="Calibri"/>
      <family val="2"/>
      <charset val="204"/>
      <scheme val="minor"/>
    </font>
    <font>
      <i/>
      <sz val="10"/>
      <color theme="1"/>
      <name val="Calibri"/>
      <family val="2"/>
      <charset val="204"/>
      <scheme val="minor"/>
    </font>
    <font>
      <b/>
      <sz val="14"/>
      <color rgb="FFFFCC66"/>
      <name val="Calibri"/>
      <family val="2"/>
      <charset val="204"/>
    </font>
    <font>
      <b/>
      <sz val="14"/>
      <color rgb="FFFFCC66"/>
      <name val="Calibri"/>
      <family val="2"/>
      <charset val="204"/>
      <scheme val="minor"/>
    </font>
    <font>
      <sz val="22"/>
      <color theme="1"/>
      <name val="Calibri"/>
      <family val="2"/>
      <charset val="204"/>
      <scheme val="minor"/>
    </font>
    <font>
      <i/>
      <sz val="10"/>
      <color rgb="FFFF0000"/>
      <name val="Calibri"/>
      <family val="2"/>
      <charset val="204"/>
      <scheme val="minor"/>
    </font>
    <font>
      <sz val="8"/>
      <name val="Calibri"/>
      <family val="2"/>
      <charset val="204"/>
    </font>
    <font>
      <sz val="11"/>
      <name val="Calibri"/>
      <family val="2"/>
      <charset val="204"/>
    </font>
    <font>
      <b/>
      <sz val="11"/>
      <name val="Calibri"/>
      <family val="2"/>
      <charset val="204"/>
    </font>
    <font>
      <u/>
      <sz val="16"/>
      <name val="Calibri"/>
      <family val="2"/>
      <charset val="204"/>
      <scheme val="minor"/>
    </font>
    <font>
      <sz val="12"/>
      <name val="Calibri"/>
      <family val="2"/>
      <charset val="204"/>
    </font>
    <font>
      <b/>
      <sz val="12"/>
      <name val="Calibri"/>
      <family val="2"/>
      <charset val="204"/>
    </font>
    <font>
      <sz val="9"/>
      <color indexed="81"/>
      <name val="Tahoma"/>
      <charset val="1"/>
    </font>
    <font>
      <i/>
      <sz val="9"/>
      <color theme="1"/>
      <name val="Calibri"/>
      <family val="2"/>
      <charset val="204"/>
      <scheme val="minor"/>
    </font>
    <font>
      <b/>
      <sz val="9"/>
      <color rgb="FFFF0000"/>
      <name val="Calibri"/>
      <family val="2"/>
      <charset val="204"/>
      <scheme val="minor"/>
    </font>
    <font>
      <i/>
      <sz val="9"/>
      <name val="Calibri"/>
      <family val="2"/>
      <charset val="204"/>
      <scheme val="minor"/>
    </font>
    <font>
      <i/>
      <sz val="11"/>
      <color theme="1"/>
      <name val="Calibri"/>
      <family val="2"/>
      <charset val="204"/>
      <scheme val="minor"/>
    </font>
    <font>
      <sz val="9"/>
      <color theme="1"/>
      <name val="Calibri"/>
      <family val="2"/>
      <charset val="204"/>
      <scheme val="minor"/>
    </font>
    <font>
      <b/>
      <sz val="9"/>
      <color theme="1"/>
      <name val="Calibri"/>
      <family val="2"/>
      <charset val="204"/>
      <scheme val="minor"/>
    </font>
    <font>
      <i/>
      <sz val="11"/>
      <color theme="1" tint="0.499984740745262"/>
      <name val="Calibri"/>
      <family val="2"/>
      <charset val="204"/>
      <scheme val="minor"/>
    </font>
    <font>
      <b/>
      <i/>
      <sz val="10"/>
      <color theme="1" tint="0.499984740745262"/>
      <name val="Calibri"/>
      <family val="2"/>
      <charset val="204"/>
      <scheme val="minor"/>
    </font>
    <font>
      <i/>
      <sz val="9"/>
      <color theme="1" tint="0.499984740745262"/>
      <name val="Calibri"/>
      <family val="2"/>
      <charset val="204"/>
      <scheme val="minor"/>
    </font>
    <font>
      <sz val="11"/>
      <color theme="0"/>
      <name val="Calibri"/>
      <family val="2"/>
      <charset val="204"/>
      <scheme val="minor"/>
    </font>
    <font>
      <b/>
      <sz val="11"/>
      <color theme="0"/>
      <name val="Calibri"/>
      <family val="2"/>
      <charset val="204"/>
      <scheme val="minor"/>
    </font>
    <font>
      <sz val="10"/>
      <color theme="0"/>
      <name val="Calibri"/>
      <family val="2"/>
      <charset val="204"/>
      <scheme val="minor"/>
    </font>
    <font>
      <b/>
      <sz val="10"/>
      <color theme="0"/>
      <name val="Calibri"/>
      <family val="2"/>
      <charset val="204"/>
      <scheme val="minor"/>
    </font>
    <font>
      <sz val="9"/>
      <color theme="0"/>
      <name val="Calibri"/>
      <family val="2"/>
      <charset val="204"/>
      <scheme val="minor"/>
    </font>
    <font>
      <i/>
      <sz val="11"/>
      <color theme="0"/>
      <name val="Calibri"/>
      <family val="2"/>
      <charset val="204"/>
      <scheme val="minor"/>
    </font>
  </fonts>
  <fills count="16">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CC66"/>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9966"/>
        <bgColor indexed="64"/>
      </patternFill>
    </fill>
    <fill>
      <patternFill patternType="solid">
        <fgColor rgb="FF0066FF"/>
        <bgColor indexed="64"/>
      </patternFill>
    </fill>
  </fills>
  <borders count="11">
    <border>
      <left/>
      <right/>
      <top/>
      <bottom/>
      <diagonal/>
    </border>
    <border>
      <left/>
      <right/>
      <top style="double">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indexed="64"/>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215">
    <xf numFmtId="0" fontId="0" fillId="0" borderId="0" xfId="0"/>
    <xf numFmtId="0" fontId="17" fillId="6" borderId="10" xfId="0" applyFont="1" applyFill="1" applyBorder="1" applyAlignment="1" applyProtection="1">
      <alignment horizontal="left" indent="18"/>
      <protection hidden="1"/>
    </xf>
    <xf numFmtId="0" fontId="11" fillId="0" borderId="10" xfId="0" applyFont="1" applyBorder="1" applyProtection="1">
      <protection hidden="1"/>
    </xf>
    <xf numFmtId="0" fontId="17" fillId="6" borderId="10" xfId="0" applyFont="1" applyFill="1" applyBorder="1" applyAlignment="1" applyProtection="1">
      <alignment horizontal="left" vertical="center"/>
      <protection hidden="1"/>
    </xf>
    <xf numFmtId="0" fontId="17" fillId="6" borderId="10" xfId="0" applyFont="1" applyFill="1" applyBorder="1" applyAlignment="1" applyProtection="1">
      <alignment vertical="center"/>
      <protection hidden="1"/>
    </xf>
    <xf numFmtId="0" fontId="11" fillId="6" borderId="10" xfId="0" applyFont="1" applyFill="1" applyBorder="1" applyProtection="1">
      <protection hidden="1"/>
    </xf>
    <xf numFmtId="0" fontId="11" fillId="0" borderId="0" xfId="0" applyFont="1" applyProtection="1">
      <protection hidden="1"/>
    </xf>
    <xf numFmtId="0" fontId="0" fillId="0" borderId="0" xfId="0" applyProtection="1">
      <protection hidden="1"/>
    </xf>
    <xf numFmtId="0" fontId="3" fillId="0" borderId="0" xfId="0" applyFont="1" applyProtection="1">
      <protection hidden="1"/>
    </xf>
    <xf numFmtId="0" fontId="0" fillId="0" borderId="0" xfId="0" applyFill="1" applyProtection="1">
      <protection hidden="1"/>
    </xf>
    <xf numFmtId="0" fontId="38" fillId="0" borderId="0" xfId="0" applyFont="1" applyAlignment="1" applyProtection="1">
      <alignment horizontal="center" vertical="center"/>
      <protection hidden="1"/>
    </xf>
    <xf numFmtId="0" fontId="3" fillId="0" borderId="0" xfId="0" applyFont="1" applyAlignment="1" applyProtection="1">
      <protection hidden="1"/>
    </xf>
    <xf numFmtId="0" fontId="35" fillId="0" borderId="0" xfId="0" applyFont="1" applyAlignment="1" applyProtection="1">
      <alignment horizontal="center"/>
      <protection hidden="1"/>
    </xf>
    <xf numFmtId="0" fontId="36"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39" fillId="0" borderId="0" xfId="0" applyFont="1" applyAlignment="1" applyProtection="1">
      <alignment horizontal="left"/>
      <protection hidden="1"/>
    </xf>
    <xf numFmtId="0" fontId="3" fillId="0" borderId="0" xfId="0" applyFont="1" applyAlignment="1" applyProtection="1">
      <alignment horizontal="left"/>
      <protection hidden="1"/>
    </xf>
    <xf numFmtId="0" fontId="24" fillId="0" borderId="0" xfId="0" applyFont="1" applyAlignment="1" applyProtection="1">
      <protection hidden="1"/>
    </xf>
    <xf numFmtId="0" fontId="0" fillId="0" borderId="0" xfId="0" applyAlignment="1" applyProtection="1">
      <protection hidden="1"/>
    </xf>
    <xf numFmtId="0" fontId="3" fillId="7" borderId="0" xfId="0" applyFont="1" applyFill="1" applyProtection="1">
      <protection locked="0" hidden="1"/>
    </xf>
    <xf numFmtId="0" fontId="3" fillId="8" borderId="0" xfId="0" applyFont="1" applyFill="1" applyProtection="1">
      <protection locked="0" hidden="1"/>
    </xf>
    <xf numFmtId="0" fontId="27" fillId="0" borderId="0" xfId="0" applyFont="1" applyAlignment="1" applyProtection="1">
      <alignment horizontal="left" indent="1"/>
      <protection hidden="1"/>
    </xf>
    <xf numFmtId="0" fontId="11" fillId="0" borderId="0" xfId="0" applyFont="1" applyFill="1" applyProtection="1">
      <protection hidden="1"/>
    </xf>
    <xf numFmtId="0" fontId="9" fillId="0" borderId="0" xfId="0" applyFont="1" applyFill="1" applyProtection="1">
      <protection hidden="1"/>
    </xf>
    <xf numFmtId="0" fontId="11" fillId="0" borderId="0" xfId="0" applyFont="1" applyAlignment="1" applyProtection="1">
      <alignment horizontal="left" indent="1"/>
      <protection hidden="1"/>
    </xf>
    <xf numFmtId="0" fontId="12" fillId="0" borderId="0" xfId="0" applyFont="1" applyAlignment="1" applyProtection="1">
      <alignment horizontal="center"/>
      <protection hidden="1"/>
    </xf>
    <xf numFmtId="0" fontId="33" fillId="0" borderId="0" xfId="0" applyFont="1" applyAlignment="1" applyProtection="1">
      <alignment horizontal="left" indent="1"/>
      <protection hidden="1"/>
    </xf>
    <xf numFmtId="0" fontId="19" fillId="0" borderId="0" xfId="0" applyFont="1" applyAlignment="1" applyProtection="1">
      <alignment horizontal="left" wrapText="1"/>
      <protection hidden="1"/>
    </xf>
    <xf numFmtId="0" fontId="11" fillId="0" borderId="0" xfId="0" applyFont="1" applyFill="1" applyAlignment="1" applyProtection="1">
      <alignment horizontal="left" indent="2"/>
      <protection hidden="1"/>
    </xf>
    <xf numFmtId="0" fontId="11" fillId="0" borderId="0" xfId="0" applyFont="1" applyFill="1" applyAlignment="1" applyProtection="1">
      <alignment horizontal="center"/>
      <protection hidden="1"/>
    </xf>
    <xf numFmtId="0" fontId="13" fillId="0" borderId="2" xfId="0" applyFont="1" applyBorder="1" applyAlignment="1" applyProtection="1">
      <alignment horizontal="center" vertical="center"/>
      <protection hidden="1"/>
    </xf>
    <xf numFmtId="0" fontId="11" fillId="0" borderId="3" xfId="0" applyFont="1" applyBorder="1" applyProtection="1">
      <protection hidden="1"/>
    </xf>
    <xf numFmtId="0" fontId="13" fillId="0" borderId="4" xfId="0" applyFont="1" applyBorder="1" applyAlignment="1" applyProtection="1">
      <alignment horizontal="center"/>
      <protection hidden="1"/>
    </xf>
    <xf numFmtId="0" fontId="6" fillId="0" borderId="0" xfId="2" applyBorder="1" applyAlignment="1" applyProtection="1">
      <alignment horizontal="left" indent="1"/>
      <protection hidden="1"/>
    </xf>
    <xf numFmtId="0" fontId="11" fillId="0" borderId="0" xfId="0" applyFont="1" applyBorder="1" applyProtection="1">
      <protection hidden="1"/>
    </xf>
    <xf numFmtId="0" fontId="11" fillId="0" borderId="5" xfId="0" applyFont="1" applyBorder="1" applyProtection="1">
      <protection hidden="1"/>
    </xf>
    <xf numFmtId="43" fontId="11" fillId="0" borderId="6" xfId="1" applyFont="1" applyBorder="1" applyAlignment="1" applyProtection="1">
      <alignment horizontal="center"/>
      <protection hidden="1"/>
    </xf>
    <xf numFmtId="0" fontId="11" fillId="0" borderId="0" xfId="0" applyFont="1" applyBorder="1" applyAlignment="1" applyProtection="1">
      <alignment horizontal="left" indent="1"/>
      <protection hidden="1"/>
    </xf>
    <xf numFmtId="43" fontId="11" fillId="0" borderId="6" xfId="1" applyFont="1" applyBorder="1" applyProtection="1">
      <protection hidden="1"/>
    </xf>
    <xf numFmtId="43" fontId="11" fillId="0" borderId="0" xfId="0" applyNumberFormat="1" applyFont="1" applyBorder="1" applyProtection="1">
      <protection hidden="1"/>
    </xf>
    <xf numFmtId="43" fontId="11" fillId="0" borderId="6" xfId="1" applyFont="1" applyBorder="1" applyAlignment="1" applyProtection="1">
      <alignment horizontal="right" indent="1"/>
      <protection hidden="1"/>
    </xf>
    <xf numFmtId="0" fontId="11" fillId="0" borderId="7" xfId="0" applyFont="1" applyBorder="1" applyProtection="1">
      <protection hidden="1"/>
    </xf>
    <xf numFmtId="0" fontId="11" fillId="0" borderId="8" xfId="0" applyFont="1" applyBorder="1" applyProtection="1">
      <protection hidden="1"/>
    </xf>
    <xf numFmtId="0" fontId="11" fillId="0" borderId="9" xfId="0" applyFont="1" applyBorder="1" applyProtection="1">
      <protection hidden="1"/>
    </xf>
    <xf numFmtId="164" fontId="9" fillId="0" borderId="0" xfId="1" applyNumberFormat="1" applyFont="1" applyFill="1" applyProtection="1">
      <protection hidden="1"/>
    </xf>
    <xf numFmtId="0" fontId="9" fillId="0" borderId="0" xfId="1" applyNumberFormat="1" applyFont="1" applyFill="1" applyAlignment="1" applyProtection="1">
      <alignment horizontal="center"/>
      <protection hidden="1"/>
    </xf>
    <xf numFmtId="164" fontId="11" fillId="0" borderId="0" xfId="1" applyNumberFormat="1" applyFont="1" applyProtection="1">
      <protection hidden="1"/>
    </xf>
    <xf numFmtId="164" fontId="11" fillId="0" borderId="0" xfId="1" applyNumberFormat="1" applyFont="1" applyFill="1" applyProtection="1">
      <protection hidden="1"/>
    </xf>
    <xf numFmtId="0" fontId="9" fillId="0" borderId="0" xfId="0" applyFont="1" applyProtection="1">
      <protection hidden="1"/>
    </xf>
    <xf numFmtId="0" fontId="13" fillId="0" borderId="0" xfId="0" applyFont="1" applyAlignment="1" applyProtection="1">
      <alignment horizontal="center"/>
      <protection hidden="1"/>
    </xf>
    <xf numFmtId="0" fontId="19" fillId="0" borderId="0" xfId="0" applyFont="1" applyProtection="1">
      <protection hidden="1"/>
    </xf>
    <xf numFmtId="0" fontId="11" fillId="7" borderId="0" xfId="0" applyFont="1" applyFill="1" applyProtection="1">
      <protection hidden="1"/>
    </xf>
    <xf numFmtId="0" fontId="11" fillId="0" borderId="0" xfId="0" applyFont="1" applyAlignment="1" applyProtection="1">
      <alignment horizontal="center"/>
      <protection hidden="1"/>
    </xf>
    <xf numFmtId="0" fontId="13" fillId="0" borderId="0" xfId="0" applyFont="1" applyProtection="1">
      <protection hidden="1"/>
    </xf>
    <xf numFmtId="0" fontId="13" fillId="0" borderId="0" xfId="0" applyFont="1" applyAlignment="1" applyProtection="1">
      <alignment horizontal="left"/>
      <protection hidden="1"/>
    </xf>
    <xf numFmtId="164" fontId="11" fillId="7" borderId="0" xfId="1" applyNumberFormat="1" applyFont="1" applyFill="1" applyAlignment="1" applyProtection="1">
      <alignment horizontal="center"/>
      <protection hidden="1"/>
    </xf>
    <xf numFmtId="49" fontId="11" fillId="0" borderId="0" xfId="1" applyNumberFormat="1" applyFont="1" applyProtection="1">
      <protection hidden="1"/>
    </xf>
    <xf numFmtId="0" fontId="21" fillId="0" borderId="0" xfId="0" applyFont="1" applyAlignment="1" applyProtection="1">
      <alignment horizontal="left" indent="1"/>
      <protection hidden="1"/>
    </xf>
    <xf numFmtId="0" fontId="11" fillId="0" borderId="0" xfId="0" applyFont="1" applyAlignment="1" applyProtection="1">
      <alignment wrapText="1"/>
      <protection hidden="1"/>
    </xf>
    <xf numFmtId="0" fontId="11" fillId="7" borderId="0" xfId="0" applyFont="1" applyFill="1" applyAlignment="1" applyProtection="1">
      <alignment horizontal="right" indent="2"/>
      <protection hidden="1"/>
    </xf>
    <xf numFmtId="0" fontId="15" fillId="0" borderId="0" xfId="2" applyFont="1" applyProtection="1">
      <protection hidden="1"/>
    </xf>
    <xf numFmtId="0" fontId="11" fillId="7" borderId="0" xfId="0" applyFont="1" applyFill="1" applyAlignment="1" applyProtection="1">
      <alignment horizontal="right" indent="1"/>
      <protection hidden="1"/>
    </xf>
    <xf numFmtId="0" fontId="11" fillId="0" borderId="0" xfId="0" applyFont="1" applyAlignment="1" applyProtection="1">
      <alignment horizontal="left"/>
      <protection hidden="1"/>
    </xf>
    <xf numFmtId="164" fontId="11" fillId="7" borderId="0" xfId="1" applyNumberFormat="1" applyFont="1" applyFill="1" applyAlignment="1" applyProtection="1">
      <alignment horizontal="left"/>
      <protection hidden="1"/>
    </xf>
    <xf numFmtId="43" fontId="11" fillId="7" borderId="0" xfId="1" applyNumberFormat="1" applyFont="1" applyFill="1" applyAlignment="1" applyProtection="1">
      <alignment horizontal="left"/>
      <protection hidden="1"/>
    </xf>
    <xf numFmtId="43" fontId="11" fillId="7" borderId="0" xfId="1" applyFont="1" applyFill="1" applyAlignment="1" applyProtection="1">
      <alignment horizontal="right" indent="1"/>
      <protection hidden="1"/>
    </xf>
    <xf numFmtId="0" fontId="20" fillId="0" borderId="0" xfId="0" applyFont="1" applyProtection="1">
      <protection hidden="1"/>
    </xf>
    <xf numFmtId="0" fontId="11" fillId="0" borderId="0" xfId="0" applyFont="1" applyFill="1" applyAlignment="1" applyProtection="1">
      <alignment horizontal="left"/>
      <protection hidden="1"/>
    </xf>
    <xf numFmtId="164" fontId="11" fillId="8" borderId="0" xfId="1" applyNumberFormat="1" applyFont="1" applyFill="1" applyProtection="1">
      <protection locked="0"/>
    </xf>
    <xf numFmtId="0" fontId="11" fillId="8" borderId="0" xfId="0" applyFont="1" applyFill="1" applyAlignment="1" applyProtection="1">
      <alignment horizontal="center"/>
      <protection locked="0"/>
    </xf>
    <xf numFmtId="164" fontId="11" fillId="8" borderId="0" xfId="0" applyNumberFormat="1" applyFont="1" applyFill="1" applyProtection="1">
      <protection locked="0"/>
    </xf>
    <xf numFmtId="0" fontId="13" fillId="8" borderId="0" xfId="0" applyFont="1" applyFill="1" applyAlignment="1" applyProtection="1">
      <alignment horizontal="center"/>
      <protection locked="0"/>
    </xf>
    <xf numFmtId="0" fontId="11" fillId="0" borderId="0" xfId="0" applyFont="1" applyProtection="1">
      <protection locked="0"/>
    </xf>
    <xf numFmtId="164" fontId="11" fillId="8" borderId="0" xfId="1" applyNumberFormat="1" applyFont="1" applyFill="1" applyAlignment="1" applyProtection="1">
      <alignment horizontal="left"/>
      <protection locked="0"/>
    </xf>
    <xf numFmtId="43" fontId="11" fillId="8" borderId="0" xfId="1" applyFont="1" applyFill="1" applyAlignment="1" applyProtection="1">
      <alignment horizontal="left"/>
      <protection locked="0"/>
    </xf>
    <xf numFmtId="43" fontId="11" fillId="8" borderId="0" xfId="1" applyFont="1" applyFill="1" applyAlignment="1" applyProtection="1">
      <alignment horizontal="right" indent="1"/>
      <protection locked="0"/>
    </xf>
    <xf numFmtId="0" fontId="11" fillId="8" borderId="0" xfId="0" applyFont="1" applyFill="1" applyAlignment="1" applyProtection="1">
      <alignment horizontal="right" indent="2"/>
      <protection locked="0"/>
    </xf>
    <xf numFmtId="0" fontId="11" fillId="0" borderId="0" xfId="0" applyFont="1" applyAlignment="1" applyProtection="1">
      <alignment horizontal="left"/>
      <protection locked="0"/>
    </xf>
    <xf numFmtId="43" fontId="11" fillId="8" borderId="0" xfId="1" applyNumberFormat="1" applyFont="1" applyFill="1" applyAlignment="1" applyProtection="1">
      <alignment horizontal="left"/>
      <protection locked="0"/>
    </xf>
    <xf numFmtId="43" fontId="11" fillId="8" borderId="0" xfId="1" applyNumberFormat="1" applyFont="1" applyFill="1" applyAlignment="1" applyProtection="1">
      <alignment horizontal="right" indent="1"/>
      <protection locked="0"/>
    </xf>
    <xf numFmtId="0" fontId="11" fillId="6" borderId="0" xfId="0" applyFont="1" applyFill="1" applyBorder="1" applyProtection="1">
      <protection hidden="1"/>
    </xf>
    <xf numFmtId="0" fontId="0" fillId="5" borderId="0" xfId="0" applyFill="1" applyProtection="1">
      <protection hidden="1"/>
    </xf>
    <xf numFmtId="0" fontId="2" fillId="5" borderId="0" xfId="0" applyFont="1" applyFill="1" applyProtection="1">
      <protection hidden="1"/>
    </xf>
    <xf numFmtId="0" fontId="2"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43" fontId="0" fillId="0" borderId="0" xfId="1" applyFont="1" applyAlignment="1" applyProtection="1">
      <alignment horizontal="left"/>
      <protection hidden="1"/>
    </xf>
    <xf numFmtId="0" fontId="5" fillId="0" borderId="0" xfId="0" applyFont="1" applyProtection="1">
      <protection hidden="1"/>
    </xf>
    <xf numFmtId="0" fontId="2" fillId="0" borderId="0" xfId="0" applyFont="1" applyAlignment="1" applyProtection="1">
      <alignment wrapText="1"/>
      <protection hidden="1"/>
    </xf>
    <xf numFmtId="43" fontId="2" fillId="0" borderId="1" xfId="1" applyFont="1" applyBorder="1" applyAlignment="1" applyProtection="1">
      <alignment horizontal="left"/>
      <protection hidden="1"/>
    </xf>
    <xf numFmtId="43" fontId="0" fillId="8" borderId="0" xfId="1" applyFont="1" applyFill="1" applyProtection="1">
      <protection locked="0"/>
    </xf>
    <xf numFmtId="0" fontId="0" fillId="8" borderId="0" xfId="0" applyFill="1" applyProtection="1">
      <protection locked="0"/>
    </xf>
    <xf numFmtId="0" fontId="14" fillId="0" borderId="0" xfId="0" applyFont="1" applyProtection="1">
      <protection hidden="1"/>
    </xf>
    <xf numFmtId="0" fontId="11" fillId="0" borderId="0" xfId="0" applyFont="1" applyAlignment="1" applyProtection="1">
      <alignment vertical="top" wrapText="1"/>
      <protection hidden="1"/>
    </xf>
    <xf numFmtId="0" fontId="12" fillId="0" borderId="0" xfId="0" applyFont="1" applyAlignment="1" applyProtection="1">
      <alignment horizontal="center" vertical="center"/>
      <protection hidden="1"/>
    </xf>
    <xf numFmtId="0" fontId="23" fillId="7" borderId="0" xfId="0" applyFont="1" applyFill="1" applyProtection="1">
      <protection hidden="1"/>
    </xf>
    <xf numFmtId="164" fontId="23" fillId="7" borderId="0" xfId="1" applyNumberFormat="1" applyFont="1" applyFill="1" applyProtection="1">
      <protection hidden="1"/>
    </xf>
    <xf numFmtId="0" fontId="23" fillId="7" borderId="0" xfId="0" applyFont="1" applyFill="1" applyAlignment="1" applyProtection="1">
      <alignment horizontal="center"/>
      <protection hidden="1"/>
    </xf>
    <xf numFmtId="0" fontId="13" fillId="0" borderId="0" xfId="0" applyFont="1" applyFill="1" applyProtection="1">
      <protection hidden="1"/>
    </xf>
    <xf numFmtId="0" fontId="24" fillId="7" borderId="0" xfId="0" applyFont="1" applyFill="1" applyAlignment="1" applyProtection="1">
      <alignment horizontal="center"/>
      <protection hidden="1"/>
    </xf>
    <xf numFmtId="0" fontId="12" fillId="0" borderId="0" xfId="0" applyFont="1" applyAlignment="1" applyProtection="1">
      <alignment vertical="center"/>
      <protection hidden="1"/>
    </xf>
    <xf numFmtId="0" fontId="11" fillId="0" borderId="0" xfId="0" applyFont="1" applyAlignment="1" applyProtection="1">
      <alignment wrapText="1"/>
      <protection locked="0"/>
    </xf>
    <xf numFmtId="0" fontId="11" fillId="8" borderId="0" xfId="0" applyFont="1" applyFill="1" applyProtection="1">
      <protection locked="0"/>
    </xf>
    <xf numFmtId="0" fontId="13" fillId="0" borderId="0" xfId="0" applyFont="1" applyAlignment="1" applyProtection="1">
      <alignment horizontal="center" vertical="center" wrapText="1"/>
      <protection hidden="1"/>
    </xf>
    <xf numFmtId="9" fontId="11" fillId="0" borderId="0" xfId="3" applyFont="1" applyProtection="1">
      <protection hidden="1"/>
    </xf>
    <xf numFmtId="164" fontId="0" fillId="0" borderId="0" xfId="1" applyNumberFormat="1" applyFont="1" applyProtection="1">
      <protection hidden="1"/>
    </xf>
    <xf numFmtId="164" fontId="2" fillId="0" borderId="0" xfId="1" applyNumberFormat="1" applyFont="1" applyProtection="1">
      <protection hidden="1"/>
    </xf>
    <xf numFmtId="164" fontId="0" fillId="0" borderId="0" xfId="0" applyNumberFormat="1" applyProtection="1">
      <protection hidden="1"/>
    </xf>
    <xf numFmtId="164" fontId="20" fillId="0" borderId="0" xfId="0" applyNumberFormat="1" applyFont="1" applyProtection="1">
      <protection hidden="1"/>
    </xf>
    <xf numFmtId="164" fontId="20" fillId="0" borderId="0" xfId="1" applyNumberFormat="1" applyFont="1" applyFill="1" applyProtection="1">
      <protection hidden="1"/>
    </xf>
    <xf numFmtId="0" fontId="2" fillId="0" borderId="0" xfId="0" applyFont="1" applyProtection="1">
      <protection hidden="1"/>
    </xf>
    <xf numFmtId="43" fontId="0" fillId="0" borderId="0" xfId="1" applyFont="1" applyProtection="1">
      <protection hidden="1"/>
    </xf>
    <xf numFmtId="43" fontId="0" fillId="0" borderId="0" xfId="0" applyNumberFormat="1" applyProtection="1">
      <protection hidden="1"/>
    </xf>
    <xf numFmtId="0" fontId="4" fillId="4" borderId="0" xfId="0" applyFont="1" applyFill="1" applyBorder="1" applyAlignment="1" applyProtection="1">
      <alignment horizontal="left"/>
      <protection hidden="1"/>
    </xf>
    <xf numFmtId="0" fontId="3" fillId="4" borderId="0" xfId="0" applyFont="1" applyFill="1" applyBorder="1" applyAlignment="1" applyProtection="1">
      <alignment horizontal="center"/>
      <protection hidden="1"/>
    </xf>
    <xf numFmtId="0" fontId="4" fillId="3" borderId="0" xfId="0" applyFont="1" applyFill="1" applyBorder="1" applyAlignment="1" applyProtection="1">
      <alignment horizontal="left"/>
      <protection hidden="1"/>
    </xf>
    <xf numFmtId="0" fontId="3" fillId="3" borderId="0" xfId="0" applyFont="1" applyFill="1" applyBorder="1" applyAlignment="1" applyProtection="1">
      <alignment horizontal="center"/>
      <protection hidden="1"/>
    </xf>
    <xf numFmtId="0" fontId="4"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protection hidden="1"/>
    </xf>
    <xf numFmtId="0" fontId="4" fillId="4" borderId="0" xfId="0" applyFont="1" applyFill="1" applyProtection="1">
      <protection hidden="1"/>
    </xf>
    <xf numFmtId="0" fontId="3" fillId="4" borderId="0" xfId="0" applyFont="1" applyFill="1" applyBorder="1" applyProtection="1">
      <protection hidden="1"/>
    </xf>
    <xf numFmtId="0" fontId="3" fillId="4" borderId="0" xfId="0" applyFont="1" applyFill="1" applyProtection="1">
      <protection hidden="1"/>
    </xf>
    <xf numFmtId="0" fontId="4" fillId="3" borderId="0" xfId="0" applyFont="1" applyFill="1" applyProtection="1">
      <protection hidden="1"/>
    </xf>
    <xf numFmtId="0" fontId="3" fillId="3" borderId="0" xfId="0" applyFont="1" applyFill="1" applyBorder="1" applyProtection="1">
      <protection hidden="1"/>
    </xf>
    <xf numFmtId="0" fontId="3" fillId="3" borderId="0" xfId="0" applyFont="1" applyFill="1" applyProtection="1">
      <protection hidden="1"/>
    </xf>
    <xf numFmtId="0" fontId="4" fillId="2" borderId="0" xfId="0" applyFont="1" applyFill="1" applyProtection="1">
      <protection hidden="1"/>
    </xf>
    <xf numFmtId="0" fontId="3" fillId="2" borderId="0" xfId="0" applyFont="1" applyFill="1" applyBorder="1" applyProtection="1">
      <protection hidden="1"/>
    </xf>
    <xf numFmtId="0" fontId="3" fillId="2" borderId="0" xfId="0" applyFont="1" applyFill="1" applyProtection="1">
      <protection hidden="1"/>
    </xf>
    <xf numFmtId="10" fontId="0" fillId="0" borderId="0" xfId="0" applyNumberFormat="1" applyProtection="1">
      <protection hidden="1"/>
    </xf>
    <xf numFmtId="0" fontId="0" fillId="0" borderId="0" xfId="0" applyFont="1" applyProtection="1">
      <protection hidden="1"/>
    </xf>
    <xf numFmtId="43" fontId="0" fillId="0" borderId="0" xfId="1" applyNumberFormat="1" applyFont="1" applyProtection="1">
      <protection hidden="1"/>
    </xf>
    <xf numFmtId="0" fontId="0" fillId="5" borderId="0" xfId="0" applyFont="1" applyFill="1" applyProtection="1">
      <protection hidden="1"/>
    </xf>
    <xf numFmtId="43" fontId="2" fillId="5" borderId="0" xfId="1" applyFont="1" applyFill="1" applyProtection="1">
      <protection hidden="1"/>
    </xf>
    <xf numFmtId="0" fontId="2" fillId="0" borderId="0" xfId="0" applyFont="1" applyFill="1" applyProtection="1">
      <protection hidden="1"/>
    </xf>
    <xf numFmtId="0" fontId="27" fillId="0" borderId="0" xfId="0" applyFont="1" applyFill="1" applyAlignment="1" applyProtection="1">
      <alignment horizontal="left" indent="1"/>
      <protection hidden="1"/>
    </xf>
    <xf numFmtId="0" fontId="10" fillId="0" borderId="0" xfId="2" applyFont="1" applyFill="1" applyProtection="1">
      <protection hidden="1"/>
    </xf>
    <xf numFmtId="164" fontId="2" fillId="0" borderId="0" xfId="1" applyNumberFormat="1" applyFont="1" applyFill="1" applyProtection="1">
      <protection hidden="1"/>
    </xf>
    <xf numFmtId="0" fontId="41" fillId="0" borderId="0" xfId="0" applyFont="1" applyProtection="1">
      <protection hidden="1"/>
    </xf>
    <xf numFmtId="9" fontId="41" fillId="0" borderId="0" xfId="3" applyFont="1" applyProtection="1">
      <protection hidden="1"/>
    </xf>
    <xf numFmtId="9" fontId="41" fillId="0" borderId="0" xfId="3" applyFont="1" applyFill="1" applyProtection="1">
      <protection hidden="1"/>
    </xf>
    <xf numFmtId="0" fontId="42" fillId="0" borderId="0" xfId="0" applyFont="1" applyProtection="1">
      <protection hidden="1"/>
    </xf>
    <xf numFmtId="0" fontId="0" fillId="0" borderId="0" xfId="0" applyBorder="1" applyProtection="1">
      <protection hidden="1"/>
    </xf>
    <xf numFmtId="0" fontId="11" fillId="13" borderId="0" xfId="0" applyFont="1" applyFill="1" applyProtection="1">
      <protection hidden="1"/>
    </xf>
    <xf numFmtId="0" fontId="13" fillId="0" borderId="0" xfId="0" applyFont="1" applyFill="1" applyAlignment="1" applyProtection="1">
      <alignment horizontal="center" vertical="center" wrapText="1"/>
      <protection hidden="1"/>
    </xf>
    <xf numFmtId="0" fontId="13" fillId="12" borderId="0" xfId="0" applyFont="1" applyFill="1" applyAlignment="1" applyProtection="1">
      <alignment horizontal="center" vertical="center" wrapText="1"/>
      <protection hidden="1"/>
    </xf>
    <xf numFmtId="0" fontId="41" fillId="12" borderId="0" xfId="0" applyFont="1" applyFill="1" applyAlignment="1" applyProtection="1">
      <alignment horizontal="center" vertical="center" wrapText="1"/>
      <protection hidden="1"/>
    </xf>
    <xf numFmtId="0" fontId="11" fillId="0" borderId="0" xfId="0" applyFont="1" applyAlignment="1" applyProtection="1">
      <alignment vertical="center"/>
      <protection hidden="1"/>
    </xf>
    <xf numFmtId="165" fontId="41" fillId="0" borderId="0" xfId="0" applyNumberFormat="1" applyFont="1" applyProtection="1">
      <protection hidden="1"/>
    </xf>
    <xf numFmtId="165" fontId="41" fillId="0" borderId="0" xfId="0" applyNumberFormat="1" applyFont="1" applyFill="1" applyProtection="1">
      <protection hidden="1"/>
    </xf>
    <xf numFmtId="164" fontId="16" fillId="0" borderId="0" xfId="1" applyNumberFormat="1" applyFont="1" applyProtection="1">
      <protection hidden="1"/>
    </xf>
    <xf numFmtId="165" fontId="43" fillId="0" borderId="0" xfId="0" applyNumberFormat="1" applyFont="1" applyProtection="1">
      <protection hidden="1"/>
    </xf>
    <xf numFmtId="9" fontId="43" fillId="0" borderId="0" xfId="3" applyFont="1" applyProtection="1">
      <protection hidden="1"/>
    </xf>
    <xf numFmtId="164" fontId="14" fillId="0" borderId="0" xfId="1" applyNumberFormat="1" applyFont="1" applyProtection="1">
      <protection hidden="1"/>
    </xf>
    <xf numFmtId="0" fontId="0" fillId="11" borderId="0" xfId="0" applyFont="1" applyFill="1" applyProtection="1">
      <protection hidden="1"/>
    </xf>
    <xf numFmtId="0" fontId="2" fillId="11" borderId="0" xfId="0" applyFont="1" applyFill="1" applyProtection="1">
      <protection hidden="1"/>
    </xf>
    <xf numFmtId="164" fontId="2" fillId="11" borderId="0" xfId="1" applyNumberFormat="1" applyFont="1" applyFill="1" applyProtection="1">
      <protection hidden="1"/>
    </xf>
    <xf numFmtId="165" fontId="44" fillId="11" borderId="0" xfId="0" applyNumberFormat="1" applyFont="1" applyFill="1" applyProtection="1">
      <protection hidden="1"/>
    </xf>
    <xf numFmtId="9" fontId="44" fillId="11" borderId="0" xfId="3" applyFont="1" applyFill="1" applyProtection="1">
      <protection hidden="1"/>
    </xf>
    <xf numFmtId="0" fontId="45" fillId="0" borderId="0" xfId="0" applyFont="1" applyFill="1" applyProtection="1">
      <protection hidden="1"/>
    </xf>
    <xf numFmtId="0" fontId="45" fillId="0" borderId="0" xfId="0" applyFont="1" applyFill="1" applyAlignment="1" applyProtection="1">
      <alignment horizontal="left" indent="1"/>
      <protection hidden="1"/>
    </xf>
    <xf numFmtId="164" fontId="45" fillId="0" borderId="0" xfId="1" applyNumberFormat="1" applyFont="1" applyFill="1" applyProtection="1">
      <protection hidden="1"/>
    </xf>
    <xf numFmtId="164" fontId="46" fillId="0" borderId="0" xfId="1" applyNumberFormat="1" applyFont="1" applyFill="1" applyProtection="1">
      <protection hidden="1"/>
    </xf>
    <xf numFmtId="0" fontId="45" fillId="0" borderId="0" xfId="0" applyFont="1" applyProtection="1">
      <protection hidden="1"/>
    </xf>
    <xf numFmtId="0" fontId="45" fillId="0" borderId="0" xfId="0" applyFont="1" applyAlignment="1" applyProtection="1">
      <alignment horizontal="left" indent="2"/>
      <protection hidden="1"/>
    </xf>
    <xf numFmtId="164" fontId="46" fillId="0" borderId="0" xfId="1" applyNumberFormat="1" applyFont="1" applyProtection="1">
      <protection hidden="1"/>
    </xf>
    <xf numFmtId="164" fontId="45" fillId="0" borderId="0" xfId="1" applyNumberFormat="1" applyFont="1" applyProtection="1">
      <protection hidden="1"/>
    </xf>
    <xf numFmtId="0" fontId="45" fillId="0" borderId="0" xfId="0" applyFont="1" applyAlignment="1" applyProtection="1">
      <alignment horizontal="left" indent="3"/>
      <protection hidden="1"/>
    </xf>
    <xf numFmtId="0" fontId="13" fillId="13" borderId="0" xfId="0" applyFont="1" applyFill="1" applyProtection="1">
      <protection hidden="1"/>
    </xf>
    <xf numFmtId="0" fontId="13" fillId="13" borderId="0" xfId="0" applyFont="1" applyFill="1" applyAlignment="1" applyProtection="1">
      <alignment horizontal="left" indent="1"/>
      <protection hidden="1"/>
    </xf>
    <xf numFmtId="164" fontId="13" fillId="13" borderId="0" xfId="1" applyNumberFormat="1" applyFont="1" applyFill="1" applyProtection="1">
      <protection hidden="1"/>
    </xf>
    <xf numFmtId="165" fontId="29" fillId="13" borderId="0" xfId="0" applyNumberFormat="1" applyFont="1" applyFill="1" applyProtection="1">
      <protection hidden="1"/>
    </xf>
    <xf numFmtId="9" fontId="29" fillId="13" borderId="0" xfId="3" applyFont="1" applyFill="1" applyProtection="1">
      <protection hidden="1"/>
    </xf>
    <xf numFmtId="164" fontId="11" fillId="13" borderId="0" xfId="1" applyNumberFormat="1" applyFont="1" applyFill="1" applyProtection="1">
      <protection hidden="1"/>
    </xf>
    <xf numFmtId="0" fontId="47" fillId="0" borderId="0" xfId="0" applyFont="1" applyFill="1" applyProtection="1">
      <protection hidden="1"/>
    </xf>
    <xf numFmtId="0" fontId="48" fillId="0" borderId="0" xfId="0" applyFont="1" applyFill="1" applyProtection="1">
      <protection hidden="1"/>
    </xf>
    <xf numFmtId="9" fontId="49" fillId="0" borderId="0" xfId="3" applyFont="1" applyFill="1" applyProtection="1">
      <protection hidden="1"/>
    </xf>
    <xf numFmtId="0" fontId="45" fillId="0" borderId="0" xfId="0" applyFont="1" applyFill="1" applyAlignment="1" applyProtection="1">
      <alignment horizontal="left" indent="2"/>
      <protection hidden="1"/>
    </xf>
    <xf numFmtId="0" fontId="2" fillId="11" borderId="0" xfId="0" applyFont="1" applyFill="1" applyAlignment="1" applyProtection="1">
      <alignment wrapText="1"/>
      <protection hidden="1"/>
    </xf>
    <xf numFmtId="0" fontId="0" fillId="0" borderId="0" xfId="0" applyFont="1" applyFill="1" applyProtection="1">
      <protection hidden="1"/>
    </xf>
    <xf numFmtId="0" fontId="2" fillId="0" borderId="0" xfId="0" applyFont="1" applyFill="1" applyAlignment="1" applyProtection="1">
      <alignment wrapText="1"/>
      <protection hidden="1"/>
    </xf>
    <xf numFmtId="165" fontId="44" fillId="0" borderId="0" xfId="0" applyNumberFormat="1" applyFont="1" applyFill="1" applyProtection="1">
      <protection hidden="1"/>
    </xf>
    <xf numFmtId="9" fontId="44" fillId="0" borderId="0" xfId="3" applyFont="1" applyFill="1" applyProtection="1">
      <protection hidden="1"/>
    </xf>
    <xf numFmtId="0" fontId="37" fillId="14" borderId="0" xfId="2" applyFont="1" applyFill="1" applyAlignment="1" applyProtection="1">
      <alignment horizontal="left" vertical="center" indent="47"/>
      <protection hidden="1"/>
    </xf>
    <xf numFmtId="0" fontId="37" fillId="14" borderId="0" xfId="2" applyFont="1" applyFill="1" applyAlignment="1" applyProtection="1">
      <alignment vertical="center"/>
      <protection hidden="1"/>
    </xf>
    <xf numFmtId="0" fontId="0" fillId="14" borderId="0" xfId="0" applyFill="1" applyAlignment="1" applyProtection="1">
      <alignment horizontal="left" indent="30"/>
      <protection hidden="1"/>
    </xf>
    <xf numFmtId="0" fontId="26" fillId="15" borderId="0" xfId="0" applyFont="1" applyFill="1" applyAlignment="1" applyProtection="1">
      <alignment horizontal="left" vertical="center" indent="30"/>
      <protection hidden="1"/>
    </xf>
    <xf numFmtId="0" fontId="26" fillId="15" borderId="0" xfId="0" applyFont="1" applyFill="1" applyAlignment="1" applyProtection="1">
      <alignment horizontal="left" vertical="center" indent="2"/>
      <protection hidden="1"/>
    </xf>
    <xf numFmtId="0" fontId="26" fillId="15" borderId="0" xfId="0" applyFont="1" applyFill="1" applyAlignment="1" applyProtection="1">
      <alignment vertical="center"/>
      <protection hidden="1"/>
    </xf>
    <xf numFmtId="164" fontId="11" fillId="15" borderId="0" xfId="1" applyNumberFormat="1" applyFont="1" applyFill="1" applyProtection="1">
      <protection hidden="1"/>
    </xf>
    <xf numFmtId="0" fontId="11" fillId="15" borderId="0" xfId="0" applyFont="1" applyFill="1" applyProtection="1">
      <protection hidden="1"/>
    </xf>
    <xf numFmtId="0" fontId="50" fillId="0" borderId="0" xfId="0" applyFont="1" applyFill="1" applyProtection="1">
      <protection hidden="1"/>
    </xf>
    <xf numFmtId="0" fontId="13" fillId="0" borderId="0" xfId="0" applyFont="1" applyAlignment="1" applyProtection="1">
      <alignment vertical="center"/>
      <protection hidden="1"/>
    </xf>
    <xf numFmtId="0" fontId="13" fillId="10" borderId="0" xfId="0" applyFont="1" applyFill="1" applyAlignment="1" applyProtection="1">
      <alignment horizontal="center" vertical="center" wrapText="1"/>
      <protection hidden="1"/>
    </xf>
    <xf numFmtId="0" fontId="2" fillId="0" borderId="0" xfId="0" applyFont="1" applyAlignment="1" applyProtection="1">
      <alignment horizontal="left" vertical="top" wrapText="1"/>
      <protection hidden="1"/>
    </xf>
    <xf numFmtId="0" fontId="3" fillId="0" borderId="0" xfId="0" applyFont="1" applyAlignment="1" applyProtection="1">
      <alignment horizontal="left" wrapText="1"/>
      <protection hidden="1"/>
    </xf>
    <xf numFmtId="0" fontId="3" fillId="10" borderId="0" xfId="0" applyFont="1" applyFill="1" applyAlignment="1" applyProtection="1">
      <alignment horizontal="left"/>
      <protection locked="0" hidden="1"/>
    </xf>
    <xf numFmtId="0" fontId="19" fillId="0" borderId="0" xfId="0" applyFont="1" applyAlignment="1" applyProtection="1">
      <alignment horizontal="left" vertical="top" wrapText="1" indent="1"/>
      <protection hidden="1"/>
    </xf>
    <xf numFmtId="0" fontId="0" fillId="0" borderId="0" xfId="0" applyAlignment="1" applyProtection="1">
      <alignment horizontal="left" wrapText="1"/>
      <protection hidden="1"/>
    </xf>
    <xf numFmtId="0" fontId="6" fillId="0" borderId="0" xfId="2" applyAlignment="1" applyProtection="1">
      <alignment horizontal="center" vertical="center" wrapText="1"/>
      <protection hidden="1"/>
    </xf>
    <xf numFmtId="0" fontId="25" fillId="9" borderId="0" xfId="0" applyFont="1" applyFill="1" applyAlignment="1" applyProtection="1">
      <alignment horizontal="center"/>
      <protection hidden="1"/>
    </xf>
    <xf numFmtId="0" fontId="12" fillId="0" borderId="0" xfId="0" applyFont="1" applyAlignment="1" applyProtection="1">
      <alignment horizontal="center" vertical="center"/>
      <protection hidden="1"/>
    </xf>
    <xf numFmtId="0" fontId="32" fillId="8" borderId="0" xfId="1" applyNumberFormat="1" applyFont="1" applyFill="1" applyAlignment="1" applyProtection="1">
      <alignment horizontal="center" vertical="center"/>
      <protection locked="0"/>
    </xf>
    <xf numFmtId="0" fontId="11" fillId="0" borderId="0" xfId="0" applyFont="1" applyAlignment="1" applyProtection="1">
      <alignment horizontal="left" vertical="top" wrapText="1"/>
      <protection hidden="1"/>
    </xf>
    <xf numFmtId="0" fontId="11" fillId="0" borderId="0" xfId="0" applyFont="1" applyAlignment="1" applyProtection="1">
      <alignment horizontal="left" wrapText="1"/>
      <protection locked="0"/>
    </xf>
    <xf numFmtId="0" fontId="11" fillId="8" borderId="0" xfId="0" applyFont="1" applyFill="1" applyAlignment="1" applyProtection="1">
      <alignment horizontal="left" wrapText="1"/>
      <protection locked="0"/>
    </xf>
    <xf numFmtId="0" fontId="30" fillId="0" borderId="0" xfId="0" applyFont="1" applyFill="1" applyAlignment="1" applyProtection="1">
      <alignment horizontal="center" vertical="center" wrapText="1"/>
      <protection hidden="1"/>
    </xf>
    <xf numFmtId="0" fontId="31" fillId="0" borderId="0" xfId="0" applyFont="1" applyFill="1" applyAlignment="1" applyProtection="1">
      <alignment horizontal="center" vertical="center"/>
      <protection hidden="1"/>
    </xf>
    <xf numFmtId="0" fontId="52" fillId="0" borderId="0" xfId="0" applyFont="1" applyFill="1" applyProtection="1">
      <protection hidden="1"/>
    </xf>
    <xf numFmtId="0" fontId="52" fillId="0" borderId="0" xfId="0" applyFont="1" applyFill="1" applyAlignment="1" applyProtection="1">
      <alignment horizontal="left"/>
      <protection hidden="1"/>
    </xf>
    <xf numFmtId="0" fontId="53" fillId="0" borderId="0" xfId="0" applyFont="1" applyFill="1" applyProtection="1">
      <protection hidden="1"/>
    </xf>
    <xf numFmtId="43" fontId="51" fillId="0" borderId="1" xfId="1" applyFont="1" applyFill="1" applyBorder="1" applyAlignment="1" applyProtection="1">
      <alignment horizontal="left"/>
      <protection hidden="1"/>
    </xf>
    <xf numFmtId="0" fontId="52" fillId="0" borderId="10" xfId="0" applyFont="1" applyFill="1" applyBorder="1" applyProtection="1">
      <protection hidden="1"/>
    </xf>
    <xf numFmtId="0" fontId="53" fillId="0" borderId="0" xfId="0" applyFont="1" applyFill="1" applyAlignment="1" applyProtection="1">
      <alignment horizontal="center" vertical="center" wrapText="1"/>
      <protection hidden="1"/>
    </xf>
    <xf numFmtId="0" fontId="54" fillId="0" borderId="0" xfId="0" applyFont="1" applyFill="1" applyProtection="1">
      <protection hidden="1"/>
    </xf>
    <xf numFmtId="0" fontId="55" fillId="0" borderId="0" xfId="0" applyFont="1" applyFill="1" applyProtection="1">
      <protection hidden="1"/>
    </xf>
  </cellXfs>
  <cellStyles count="4">
    <cellStyle name="Гиперссылка" xfId="2" builtinId="8"/>
    <cellStyle name="Обычный" xfId="0" builtinId="0"/>
    <cellStyle name="Процентный" xfId="3" builtinId="5"/>
    <cellStyle name="Финансовый" xfId="1" builtinId="3"/>
  </cellStyles>
  <dxfs count="3">
    <dxf>
      <font>
        <color auto="1"/>
      </font>
      <fill>
        <patternFill>
          <bgColor rgb="FFFF0000"/>
        </patternFill>
      </fill>
    </dxf>
    <dxf>
      <font>
        <color rgb="FFFF0000"/>
      </font>
    </dxf>
    <dxf>
      <font>
        <color rgb="FFFF0000"/>
      </font>
    </dxf>
  </dxfs>
  <tableStyles count="0" defaultTableStyle="TableStyleMedium2" defaultPivotStyle="PivotStyleLight16"/>
  <colors>
    <mruColors>
      <color rgb="FF0066FF"/>
      <color rgb="FFFF9966"/>
      <color rgb="FFCC99FF"/>
      <color rgb="FFFF6699"/>
      <color rgb="FFFF0000"/>
      <color rgb="FF0033CC"/>
      <color rgb="FFFFCC66"/>
      <color rgb="FF0066CC"/>
      <color rgb="FFFFFF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Вспомогательный!$B$111</c:f>
              <c:strCache>
                <c:ptCount val="1"/>
                <c:pt idx="0">
                  <c:v>Количество детей в классе</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Вспомогательный!$C$110:$AL$110</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Вспомогательный!$C$111:$AL$111</c:f>
              <c:numCache>
                <c:formatCode>_(* #,##0.00_);_(* \(#,##0.00\);_(* "-"??_);_(@_)</c:formatCode>
                <c:ptCount val="36"/>
                <c:pt idx="0">
                  <c:v>4.1999999999999993</c:v>
                </c:pt>
                <c:pt idx="1">
                  <c:v>6</c:v>
                </c:pt>
                <c:pt idx="2">
                  <c:v>6.6000000000000005</c:v>
                </c:pt>
                <c:pt idx="3">
                  <c:v>7.8000000000000007</c:v>
                </c:pt>
                <c:pt idx="4">
                  <c:v>7.1999999999999993</c:v>
                </c:pt>
                <c:pt idx="5">
                  <c:v>7.8000000000000007</c:v>
                </c:pt>
                <c:pt idx="6">
                  <c:v>7.8000000000000007</c:v>
                </c:pt>
                <c:pt idx="7">
                  <c:v>7.8000000000000007</c:v>
                </c:pt>
                <c:pt idx="8">
                  <c:v>7.1999999999999993</c:v>
                </c:pt>
                <c:pt idx="9">
                  <c:v>0</c:v>
                </c:pt>
                <c:pt idx="10">
                  <c:v>0</c:v>
                </c:pt>
                <c:pt idx="11">
                  <c:v>0</c:v>
                </c:pt>
                <c:pt idx="12">
                  <c:v>8.16</c:v>
                </c:pt>
                <c:pt idx="13">
                  <c:v>8.76</c:v>
                </c:pt>
                <c:pt idx="14">
                  <c:v>8.76</c:v>
                </c:pt>
                <c:pt idx="15">
                  <c:v>8.76</c:v>
                </c:pt>
                <c:pt idx="16">
                  <c:v>8.0400000000000009</c:v>
                </c:pt>
                <c:pt idx="17">
                  <c:v>8.76</c:v>
                </c:pt>
                <c:pt idx="18">
                  <c:v>8.76</c:v>
                </c:pt>
                <c:pt idx="19">
                  <c:v>8.76</c:v>
                </c:pt>
                <c:pt idx="20">
                  <c:v>8.0400000000000009</c:v>
                </c:pt>
                <c:pt idx="21">
                  <c:v>0</c:v>
                </c:pt>
                <c:pt idx="22">
                  <c:v>0</c:v>
                </c:pt>
                <c:pt idx="23">
                  <c:v>0</c:v>
                </c:pt>
                <c:pt idx="24">
                  <c:v>9.120000000000001</c:v>
                </c:pt>
                <c:pt idx="25">
                  <c:v>9.84</c:v>
                </c:pt>
                <c:pt idx="26">
                  <c:v>10.08</c:v>
                </c:pt>
                <c:pt idx="27">
                  <c:v>10.08</c:v>
                </c:pt>
                <c:pt idx="28">
                  <c:v>9.24</c:v>
                </c:pt>
                <c:pt idx="29">
                  <c:v>10.08</c:v>
                </c:pt>
                <c:pt idx="30">
                  <c:v>10.08</c:v>
                </c:pt>
                <c:pt idx="31">
                  <c:v>10.08</c:v>
                </c:pt>
                <c:pt idx="32">
                  <c:v>9.24</c:v>
                </c:pt>
                <c:pt idx="33">
                  <c:v>0</c:v>
                </c:pt>
                <c:pt idx="34">
                  <c:v>0</c:v>
                </c:pt>
                <c:pt idx="35">
                  <c:v>0</c:v>
                </c:pt>
              </c:numCache>
            </c:numRef>
          </c:val>
          <c:extLst>
            <c:ext xmlns:c16="http://schemas.microsoft.com/office/drawing/2014/chart" uri="{C3380CC4-5D6E-409C-BE32-E72D297353CC}">
              <c16:uniqueId val="{00000000-6500-4421-B6BA-5ECA3DA4604A}"/>
            </c:ext>
          </c:extLst>
        </c:ser>
        <c:dLbls>
          <c:showLegendKey val="0"/>
          <c:showVal val="0"/>
          <c:showCatName val="0"/>
          <c:showSerName val="0"/>
          <c:showPercent val="0"/>
          <c:showBubbleSize val="0"/>
        </c:dLbls>
        <c:gapWidth val="219"/>
        <c:axId val="549535056"/>
        <c:axId val="549532104"/>
      </c:barChart>
      <c:lineChart>
        <c:grouping val="standard"/>
        <c:varyColors val="0"/>
        <c:ser>
          <c:idx val="1"/>
          <c:order val="1"/>
          <c:tx>
            <c:strRef>
              <c:f>Вспомогательный!$B$112</c:f>
              <c:strCache>
                <c:ptCount val="1"/>
                <c:pt idx="0">
                  <c:v>Количество детей всего</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Вспомогательный!$C$110:$AL$110</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Вспомогательный!$C$112:$AL$112</c:f>
              <c:numCache>
                <c:formatCode>_(* #,##0.00_);_(* \(#,##0.00\);_(* "-"??_);_(@_)</c:formatCode>
                <c:ptCount val="36"/>
                <c:pt idx="0">
                  <c:v>83.999999999999986</c:v>
                </c:pt>
                <c:pt idx="1">
                  <c:v>120</c:v>
                </c:pt>
                <c:pt idx="2">
                  <c:v>132</c:v>
                </c:pt>
                <c:pt idx="3">
                  <c:v>156</c:v>
                </c:pt>
                <c:pt idx="4">
                  <c:v>144</c:v>
                </c:pt>
                <c:pt idx="5">
                  <c:v>156</c:v>
                </c:pt>
                <c:pt idx="6">
                  <c:v>156</c:v>
                </c:pt>
                <c:pt idx="7">
                  <c:v>156</c:v>
                </c:pt>
                <c:pt idx="8">
                  <c:v>144</c:v>
                </c:pt>
                <c:pt idx="9">
                  <c:v>0</c:v>
                </c:pt>
                <c:pt idx="10">
                  <c:v>0</c:v>
                </c:pt>
                <c:pt idx="11">
                  <c:v>0</c:v>
                </c:pt>
                <c:pt idx="12">
                  <c:v>163.19999999999999</c:v>
                </c:pt>
                <c:pt idx="13">
                  <c:v>175.2</c:v>
                </c:pt>
                <c:pt idx="14">
                  <c:v>175.2</c:v>
                </c:pt>
                <c:pt idx="15">
                  <c:v>175.2</c:v>
                </c:pt>
                <c:pt idx="16">
                  <c:v>160.80000000000001</c:v>
                </c:pt>
                <c:pt idx="17">
                  <c:v>175.2</c:v>
                </c:pt>
                <c:pt idx="18">
                  <c:v>175.2</c:v>
                </c:pt>
                <c:pt idx="19">
                  <c:v>175.2</c:v>
                </c:pt>
                <c:pt idx="20">
                  <c:v>160.80000000000001</c:v>
                </c:pt>
                <c:pt idx="21">
                  <c:v>0</c:v>
                </c:pt>
                <c:pt idx="22">
                  <c:v>0</c:v>
                </c:pt>
                <c:pt idx="23">
                  <c:v>0</c:v>
                </c:pt>
                <c:pt idx="24">
                  <c:v>182.40000000000003</c:v>
                </c:pt>
                <c:pt idx="25">
                  <c:v>196.8</c:v>
                </c:pt>
                <c:pt idx="26">
                  <c:v>201.6</c:v>
                </c:pt>
                <c:pt idx="27">
                  <c:v>201.6</c:v>
                </c:pt>
                <c:pt idx="28">
                  <c:v>184.8</c:v>
                </c:pt>
                <c:pt idx="29">
                  <c:v>201.6</c:v>
                </c:pt>
                <c:pt idx="30">
                  <c:v>201.6</c:v>
                </c:pt>
                <c:pt idx="31">
                  <c:v>201.6</c:v>
                </c:pt>
                <c:pt idx="32">
                  <c:v>184.8</c:v>
                </c:pt>
                <c:pt idx="33">
                  <c:v>0</c:v>
                </c:pt>
                <c:pt idx="34">
                  <c:v>0</c:v>
                </c:pt>
                <c:pt idx="35">
                  <c:v>0</c:v>
                </c:pt>
              </c:numCache>
            </c:numRef>
          </c:val>
          <c:smooth val="0"/>
          <c:extLst>
            <c:ext xmlns:c16="http://schemas.microsoft.com/office/drawing/2014/chart" uri="{C3380CC4-5D6E-409C-BE32-E72D297353CC}">
              <c16:uniqueId val="{00000001-6500-4421-B6BA-5ECA3DA4604A}"/>
            </c:ext>
          </c:extLst>
        </c:ser>
        <c:dLbls>
          <c:showLegendKey val="0"/>
          <c:showVal val="0"/>
          <c:showCatName val="0"/>
          <c:showSerName val="0"/>
          <c:showPercent val="0"/>
          <c:showBubbleSize val="0"/>
        </c:dLbls>
        <c:marker val="1"/>
        <c:smooth val="0"/>
        <c:axId val="549521936"/>
        <c:axId val="549528824"/>
      </c:lineChart>
      <c:valAx>
        <c:axId val="549528824"/>
        <c:scaling>
          <c:orientation val="minMax"/>
        </c:scaling>
        <c:delete val="0"/>
        <c:axPos val="r"/>
        <c:majorGridlines>
          <c:spPr>
            <a:ln w="9525" cap="flat" cmpd="sng" algn="ctr">
              <a:solidFill>
                <a:schemeClr val="lt1">
                  <a:lumMod val="95000"/>
                  <a:alpha val="10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49521936"/>
        <c:crosses val="max"/>
        <c:crossBetween val="between"/>
      </c:valAx>
      <c:catAx>
        <c:axId val="5495219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49528824"/>
        <c:crosses val="autoZero"/>
        <c:auto val="1"/>
        <c:lblAlgn val="ctr"/>
        <c:lblOffset val="100"/>
        <c:noMultiLvlLbl val="0"/>
      </c:catAx>
      <c:valAx>
        <c:axId val="54953210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49535056"/>
        <c:crosses val="autoZero"/>
        <c:crossBetween val="between"/>
      </c:valAx>
      <c:catAx>
        <c:axId val="549535056"/>
        <c:scaling>
          <c:orientation val="minMax"/>
        </c:scaling>
        <c:delete val="1"/>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crossAx val="5495321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Вспомогательный!$B$115</c:f>
              <c:strCache>
                <c:ptCount val="1"/>
                <c:pt idx="0">
                  <c:v>Заполняемость кабинета</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Вспомогательный!$C$114:$AL$114</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Вспомогательный!$C$115:$AL$115</c:f>
              <c:numCache>
                <c:formatCode>_(* #,##0.00_);_(* \(#,##0.00\);_(* "-"??_);_(@_)</c:formatCode>
                <c:ptCount val="36"/>
                <c:pt idx="0">
                  <c:v>34.999999999999993</c:v>
                </c:pt>
                <c:pt idx="1">
                  <c:v>50</c:v>
                </c:pt>
                <c:pt idx="2">
                  <c:v>55.000000000000007</c:v>
                </c:pt>
                <c:pt idx="3">
                  <c:v>65</c:v>
                </c:pt>
                <c:pt idx="4">
                  <c:v>60</c:v>
                </c:pt>
                <c:pt idx="5">
                  <c:v>65</c:v>
                </c:pt>
                <c:pt idx="6">
                  <c:v>65</c:v>
                </c:pt>
                <c:pt idx="7">
                  <c:v>65</c:v>
                </c:pt>
                <c:pt idx="8">
                  <c:v>60</c:v>
                </c:pt>
                <c:pt idx="9">
                  <c:v>0</c:v>
                </c:pt>
                <c:pt idx="10">
                  <c:v>0</c:v>
                </c:pt>
                <c:pt idx="11">
                  <c:v>0</c:v>
                </c:pt>
                <c:pt idx="12">
                  <c:v>68</c:v>
                </c:pt>
                <c:pt idx="13">
                  <c:v>73</c:v>
                </c:pt>
                <c:pt idx="14">
                  <c:v>73</c:v>
                </c:pt>
                <c:pt idx="15">
                  <c:v>73</c:v>
                </c:pt>
                <c:pt idx="16">
                  <c:v>67</c:v>
                </c:pt>
                <c:pt idx="17">
                  <c:v>73</c:v>
                </c:pt>
                <c:pt idx="18">
                  <c:v>73</c:v>
                </c:pt>
                <c:pt idx="19">
                  <c:v>73</c:v>
                </c:pt>
                <c:pt idx="20">
                  <c:v>67</c:v>
                </c:pt>
                <c:pt idx="21">
                  <c:v>0</c:v>
                </c:pt>
                <c:pt idx="22">
                  <c:v>0</c:v>
                </c:pt>
                <c:pt idx="23">
                  <c:v>0</c:v>
                </c:pt>
                <c:pt idx="24">
                  <c:v>76.000000000000014</c:v>
                </c:pt>
                <c:pt idx="25">
                  <c:v>82</c:v>
                </c:pt>
                <c:pt idx="26">
                  <c:v>84</c:v>
                </c:pt>
                <c:pt idx="27">
                  <c:v>84</c:v>
                </c:pt>
                <c:pt idx="28">
                  <c:v>77</c:v>
                </c:pt>
                <c:pt idx="29">
                  <c:v>84</c:v>
                </c:pt>
                <c:pt idx="30">
                  <c:v>84</c:v>
                </c:pt>
                <c:pt idx="31">
                  <c:v>84</c:v>
                </c:pt>
                <c:pt idx="32">
                  <c:v>77</c:v>
                </c:pt>
                <c:pt idx="33">
                  <c:v>0</c:v>
                </c:pt>
                <c:pt idx="34">
                  <c:v>0</c:v>
                </c:pt>
                <c:pt idx="35">
                  <c:v>0</c:v>
                </c:pt>
              </c:numCache>
            </c:numRef>
          </c:val>
          <c:extLst>
            <c:ext xmlns:c16="http://schemas.microsoft.com/office/drawing/2014/chart" uri="{C3380CC4-5D6E-409C-BE32-E72D297353CC}">
              <c16:uniqueId val="{00000000-B65D-4F1C-A72A-0EFAE3752AA1}"/>
            </c:ext>
          </c:extLst>
        </c:ser>
        <c:dLbls>
          <c:showLegendKey val="0"/>
          <c:showVal val="0"/>
          <c:showCatName val="0"/>
          <c:showSerName val="0"/>
          <c:showPercent val="0"/>
          <c:showBubbleSize val="0"/>
        </c:dLbls>
        <c:gapWidth val="100"/>
        <c:overlap val="-24"/>
        <c:axId val="548173336"/>
        <c:axId val="548179568"/>
      </c:barChart>
      <c:catAx>
        <c:axId val="5481733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48179568"/>
        <c:crosses val="autoZero"/>
        <c:auto val="1"/>
        <c:lblAlgn val="ctr"/>
        <c:lblOffset val="100"/>
        <c:noMultiLvlLbl val="0"/>
      </c:catAx>
      <c:valAx>
        <c:axId val="548179568"/>
        <c:scaling>
          <c:orientation val="minMax"/>
        </c:scaling>
        <c:delete val="0"/>
        <c:axPos val="l"/>
        <c:majorGridlines>
          <c:spPr>
            <a:ln w="9525" cap="flat" cmpd="sng" algn="ctr">
              <a:solidFill>
                <a:schemeClr val="lt1">
                  <a:lumMod val="95000"/>
                  <a:alpha val="10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4817333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Вспомогательный!$B$119</c:f>
              <c:strCache>
                <c:ptCount val="1"/>
                <c:pt idx="0">
                  <c:v>Основная за занятия</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Вспомогательный!$C$118:$AL$118</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Вспомогательный!$C$119:$AL$119</c:f>
              <c:numCache>
                <c:formatCode>_-* #.##0\ _₽_-;\-* #.##0\ _₽_-;_-* "-"??\ _₽_-;_-@_-</c:formatCode>
                <c:ptCount val="36"/>
                <c:pt idx="0">
                  <c:v>449924.99999999994</c:v>
                </c:pt>
                <c:pt idx="1">
                  <c:v>642750</c:v>
                </c:pt>
                <c:pt idx="2">
                  <c:v>707025</c:v>
                </c:pt>
                <c:pt idx="3">
                  <c:v>835575</c:v>
                </c:pt>
                <c:pt idx="4">
                  <c:v>771300</c:v>
                </c:pt>
                <c:pt idx="5">
                  <c:v>835575</c:v>
                </c:pt>
                <c:pt idx="6">
                  <c:v>835575</c:v>
                </c:pt>
                <c:pt idx="7">
                  <c:v>835575</c:v>
                </c:pt>
                <c:pt idx="8">
                  <c:v>771300</c:v>
                </c:pt>
                <c:pt idx="9">
                  <c:v>0</c:v>
                </c:pt>
                <c:pt idx="10">
                  <c:v>0</c:v>
                </c:pt>
                <c:pt idx="11">
                  <c:v>0</c:v>
                </c:pt>
                <c:pt idx="12">
                  <c:v>874139.99999999988</c:v>
                </c:pt>
                <c:pt idx="13">
                  <c:v>938414.99999999988</c:v>
                </c:pt>
                <c:pt idx="14">
                  <c:v>938414.99999999988</c:v>
                </c:pt>
                <c:pt idx="15">
                  <c:v>938414.99999999988</c:v>
                </c:pt>
                <c:pt idx="16">
                  <c:v>861285.00000000012</c:v>
                </c:pt>
                <c:pt idx="17">
                  <c:v>938414.99999999988</c:v>
                </c:pt>
                <c:pt idx="18">
                  <c:v>938414.99999999988</c:v>
                </c:pt>
                <c:pt idx="19">
                  <c:v>938414.99999999988</c:v>
                </c:pt>
                <c:pt idx="20">
                  <c:v>861285.00000000012</c:v>
                </c:pt>
                <c:pt idx="21">
                  <c:v>0</c:v>
                </c:pt>
                <c:pt idx="22">
                  <c:v>0</c:v>
                </c:pt>
                <c:pt idx="23">
                  <c:v>0</c:v>
                </c:pt>
                <c:pt idx="24">
                  <c:v>976980.00000000023</c:v>
                </c:pt>
                <c:pt idx="25">
                  <c:v>1054110</c:v>
                </c:pt>
                <c:pt idx="26">
                  <c:v>1079820</c:v>
                </c:pt>
                <c:pt idx="27">
                  <c:v>1079820</c:v>
                </c:pt>
                <c:pt idx="28">
                  <c:v>989835.00000000012</c:v>
                </c:pt>
                <c:pt idx="29">
                  <c:v>1079820</c:v>
                </c:pt>
                <c:pt idx="30">
                  <c:v>1079820</c:v>
                </c:pt>
                <c:pt idx="31">
                  <c:v>1079820</c:v>
                </c:pt>
                <c:pt idx="32">
                  <c:v>989835.00000000012</c:v>
                </c:pt>
                <c:pt idx="33">
                  <c:v>0</c:v>
                </c:pt>
                <c:pt idx="34">
                  <c:v>0</c:v>
                </c:pt>
                <c:pt idx="35">
                  <c:v>0</c:v>
                </c:pt>
              </c:numCache>
            </c:numRef>
          </c:val>
          <c:extLst>
            <c:ext xmlns:c16="http://schemas.microsoft.com/office/drawing/2014/chart" uri="{C3380CC4-5D6E-409C-BE32-E72D297353CC}">
              <c16:uniqueId val="{00000000-3999-49F2-8703-978639B3E09C}"/>
            </c:ext>
          </c:extLst>
        </c:ser>
        <c:ser>
          <c:idx val="1"/>
          <c:order val="1"/>
          <c:tx>
            <c:strRef>
              <c:f>Вспомогательный!$B$120</c:f>
              <c:strCache>
                <c:ptCount val="1"/>
                <c:pt idx="0">
                  <c:v>Мастер-классы</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Вспомогательный!$C$118:$AL$118</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Вспомогательный!$C$120:$AL$120</c:f>
              <c:numCache>
                <c:formatCode>_-* #.##0\ _₽_-;\-* #.##0\ _₽_-;_-* "-"??\ _₽_-;_-@_-</c:formatCode>
                <c:ptCount val="36"/>
                <c:pt idx="0">
                  <c:v>0</c:v>
                </c:pt>
                <c:pt idx="1">
                  <c:v>0</c:v>
                </c:pt>
                <c:pt idx="2">
                  <c:v>0</c:v>
                </c:pt>
                <c:pt idx="3">
                  <c:v>48000</c:v>
                </c:pt>
                <c:pt idx="4">
                  <c:v>48000</c:v>
                </c:pt>
                <c:pt idx="5">
                  <c:v>48000</c:v>
                </c:pt>
                <c:pt idx="6">
                  <c:v>48000</c:v>
                </c:pt>
                <c:pt idx="7">
                  <c:v>48000</c:v>
                </c:pt>
                <c:pt idx="8">
                  <c:v>48000</c:v>
                </c:pt>
                <c:pt idx="9">
                  <c:v>0</c:v>
                </c:pt>
                <c:pt idx="10">
                  <c:v>0</c:v>
                </c:pt>
                <c:pt idx="11">
                  <c:v>0</c:v>
                </c:pt>
                <c:pt idx="12">
                  <c:v>0</c:v>
                </c:pt>
                <c:pt idx="13">
                  <c:v>0</c:v>
                </c:pt>
                <c:pt idx="14">
                  <c:v>0</c:v>
                </c:pt>
                <c:pt idx="15">
                  <c:v>48000</c:v>
                </c:pt>
                <c:pt idx="16">
                  <c:v>48000</c:v>
                </c:pt>
                <c:pt idx="17">
                  <c:v>48000</c:v>
                </c:pt>
                <c:pt idx="18">
                  <c:v>48000</c:v>
                </c:pt>
                <c:pt idx="19">
                  <c:v>48000</c:v>
                </c:pt>
                <c:pt idx="20">
                  <c:v>48000</c:v>
                </c:pt>
                <c:pt idx="21">
                  <c:v>0</c:v>
                </c:pt>
                <c:pt idx="22">
                  <c:v>0</c:v>
                </c:pt>
                <c:pt idx="23">
                  <c:v>0</c:v>
                </c:pt>
                <c:pt idx="24">
                  <c:v>0</c:v>
                </c:pt>
                <c:pt idx="25">
                  <c:v>0</c:v>
                </c:pt>
                <c:pt idx="26">
                  <c:v>0</c:v>
                </c:pt>
                <c:pt idx="27">
                  <c:v>48000</c:v>
                </c:pt>
                <c:pt idx="28">
                  <c:v>48000</c:v>
                </c:pt>
                <c:pt idx="29">
                  <c:v>48000</c:v>
                </c:pt>
                <c:pt idx="30">
                  <c:v>48000</c:v>
                </c:pt>
                <c:pt idx="31">
                  <c:v>48000</c:v>
                </c:pt>
                <c:pt idx="32">
                  <c:v>48000</c:v>
                </c:pt>
                <c:pt idx="33">
                  <c:v>0</c:v>
                </c:pt>
                <c:pt idx="34">
                  <c:v>0</c:v>
                </c:pt>
                <c:pt idx="35">
                  <c:v>0</c:v>
                </c:pt>
              </c:numCache>
            </c:numRef>
          </c:val>
          <c:extLst>
            <c:ext xmlns:c16="http://schemas.microsoft.com/office/drawing/2014/chart" uri="{C3380CC4-5D6E-409C-BE32-E72D297353CC}">
              <c16:uniqueId val="{00000001-3999-49F2-8703-978639B3E09C}"/>
            </c:ext>
          </c:extLst>
        </c:ser>
        <c:ser>
          <c:idx val="2"/>
          <c:order val="2"/>
          <c:tx>
            <c:strRef>
              <c:f>Вспомогательный!$B$121</c:f>
              <c:strCache>
                <c:ptCount val="1"/>
                <c:pt idx="0">
                  <c:v>Летний интенсив</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Вспомогательный!$C$118:$AL$118</c:f>
              <c:strCache>
                <c:ptCount val="36"/>
                <c:pt idx="0">
                  <c:v>Сентябрь</c:v>
                </c:pt>
                <c:pt idx="1">
                  <c:v>Октябрь</c:v>
                </c:pt>
                <c:pt idx="2">
                  <c:v>Ноябрь</c:v>
                </c:pt>
                <c:pt idx="3">
                  <c:v>Декабрь</c:v>
                </c:pt>
                <c:pt idx="4">
                  <c:v>Январь</c:v>
                </c:pt>
                <c:pt idx="5">
                  <c:v>Февраль</c:v>
                </c:pt>
                <c:pt idx="6">
                  <c:v>Март</c:v>
                </c:pt>
                <c:pt idx="7">
                  <c:v>Апрель</c:v>
                </c:pt>
                <c:pt idx="8">
                  <c:v>Май</c:v>
                </c:pt>
                <c:pt idx="9">
                  <c:v>Июнь</c:v>
                </c:pt>
                <c:pt idx="10">
                  <c:v>Июль</c:v>
                </c:pt>
                <c:pt idx="11">
                  <c:v>Август</c:v>
                </c:pt>
                <c:pt idx="12">
                  <c:v>Сентябрь</c:v>
                </c:pt>
                <c:pt idx="13">
                  <c:v>Октябрь</c:v>
                </c:pt>
                <c:pt idx="14">
                  <c:v>Ноябрь</c:v>
                </c:pt>
                <c:pt idx="15">
                  <c:v>Декабрь</c:v>
                </c:pt>
                <c:pt idx="16">
                  <c:v>Январь</c:v>
                </c:pt>
                <c:pt idx="17">
                  <c:v>Февраль</c:v>
                </c:pt>
                <c:pt idx="18">
                  <c:v>Март</c:v>
                </c:pt>
                <c:pt idx="19">
                  <c:v>Апрель</c:v>
                </c:pt>
                <c:pt idx="20">
                  <c:v>Май</c:v>
                </c:pt>
                <c:pt idx="21">
                  <c:v>Июнь</c:v>
                </c:pt>
                <c:pt idx="22">
                  <c:v>Июль</c:v>
                </c:pt>
                <c:pt idx="23">
                  <c:v>Август</c:v>
                </c:pt>
                <c:pt idx="24">
                  <c:v>Сентябрь</c:v>
                </c:pt>
                <c:pt idx="25">
                  <c:v>Октябрь</c:v>
                </c:pt>
                <c:pt idx="26">
                  <c:v>Ноябрь</c:v>
                </c:pt>
                <c:pt idx="27">
                  <c:v>Декабрь</c:v>
                </c:pt>
                <c:pt idx="28">
                  <c:v>Январь</c:v>
                </c:pt>
                <c:pt idx="29">
                  <c:v>Февраль</c:v>
                </c:pt>
                <c:pt idx="30">
                  <c:v>Март</c:v>
                </c:pt>
                <c:pt idx="31">
                  <c:v>Апрель</c:v>
                </c:pt>
                <c:pt idx="32">
                  <c:v>Май</c:v>
                </c:pt>
                <c:pt idx="33">
                  <c:v>Июнь</c:v>
                </c:pt>
                <c:pt idx="34">
                  <c:v>Июль</c:v>
                </c:pt>
                <c:pt idx="35">
                  <c:v>Август</c:v>
                </c:pt>
              </c:strCache>
            </c:strRef>
          </c:cat>
          <c:val>
            <c:numRef>
              <c:f>Вспомогательный!$C$121:$AL$121</c:f>
              <c:numCache>
                <c:formatCode>_-* #.##0\ _₽_-;\-* #.##0\ _₽_-;_-* "-"??\ _₽_-;_-@_-</c:formatCode>
                <c:ptCount val="36"/>
                <c:pt idx="0">
                  <c:v>0</c:v>
                </c:pt>
                <c:pt idx="1">
                  <c:v>0</c:v>
                </c:pt>
                <c:pt idx="2">
                  <c:v>0</c:v>
                </c:pt>
                <c:pt idx="3">
                  <c:v>0</c:v>
                </c:pt>
                <c:pt idx="4">
                  <c:v>0</c:v>
                </c:pt>
                <c:pt idx="5">
                  <c:v>0</c:v>
                </c:pt>
                <c:pt idx="6">
                  <c:v>0</c:v>
                </c:pt>
                <c:pt idx="7">
                  <c:v>0</c:v>
                </c:pt>
                <c:pt idx="8">
                  <c:v>0</c:v>
                </c:pt>
                <c:pt idx="9">
                  <c:v>300000</c:v>
                </c:pt>
                <c:pt idx="10">
                  <c:v>300000</c:v>
                </c:pt>
                <c:pt idx="11">
                  <c:v>300000</c:v>
                </c:pt>
                <c:pt idx="12">
                  <c:v>0</c:v>
                </c:pt>
                <c:pt idx="13">
                  <c:v>0</c:v>
                </c:pt>
                <c:pt idx="14">
                  <c:v>0</c:v>
                </c:pt>
                <c:pt idx="15">
                  <c:v>0</c:v>
                </c:pt>
                <c:pt idx="16">
                  <c:v>0</c:v>
                </c:pt>
                <c:pt idx="17">
                  <c:v>0</c:v>
                </c:pt>
                <c:pt idx="18">
                  <c:v>0</c:v>
                </c:pt>
                <c:pt idx="19">
                  <c:v>0</c:v>
                </c:pt>
                <c:pt idx="20">
                  <c:v>0</c:v>
                </c:pt>
                <c:pt idx="21">
                  <c:v>300000</c:v>
                </c:pt>
                <c:pt idx="22">
                  <c:v>300000</c:v>
                </c:pt>
                <c:pt idx="23">
                  <c:v>300000</c:v>
                </c:pt>
                <c:pt idx="24">
                  <c:v>0</c:v>
                </c:pt>
                <c:pt idx="25">
                  <c:v>0</c:v>
                </c:pt>
                <c:pt idx="26">
                  <c:v>0</c:v>
                </c:pt>
                <c:pt idx="27">
                  <c:v>0</c:v>
                </c:pt>
                <c:pt idx="28">
                  <c:v>0</c:v>
                </c:pt>
                <c:pt idx="29">
                  <c:v>0</c:v>
                </c:pt>
                <c:pt idx="30">
                  <c:v>0</c:v>
                </c:pt>
                <c:pt idx="31">
                  <c:v>0</c:v>
                </c:pt>
                <c:pt idx="32">
                  <c:v>0</c:v>
                </c:pt>
                <c:pt idx="33">
                  <c:v>300000</c:v>
                </c:pt>
                <c:pt idx="34">
                  <c:v>300000</c:v>
                </c:pt>
                <c:pt idx="35">
                  <c:v>300000</c:v>
                </c:pt>
              </c:numCache>
            </c:numRef>
          </c:val>
          <c:extLst>
            <c:ext xmlns:c16="http://schemas.microsoft.com/office/drawing/2014/chart" uri="{C3380CC4-5D6E-409C-BE32-E72D297353CC}">
              <c16:uniqueId val="{00000002-3999-49F2-8703-978639B3E09C}"/>
            </c:ext>
          </c:extLst>
        </c:ser>
        <c:dLbls>
          <c:showLegendKey val="0"/>
          <c:showVal val="0"/>
          <c:showCatName val="0"/>
          <c:showSerName val="0"/>
          <c:showPercent val="0"/>
          <c:showBubbleSize val="0"/>
        </c:dLbls>
        <c:gapWidth val="150"/>
        <c:overlap val="100"/>
        <c:axId val="524013736"/>
        <c:axId val="524014720"/>
      </c:barChart>
      <c:catAx>
        <c:axId val="524013736"/>
        <c:scaling>
          <c:orientation val="minMax"/>
        </c:scaling>
        <c:delete val="1"/>
        <c:axPos val="t"/>
        <c:numFmt formatCode="#,##0.00" sourceLinked="0"/>
        <c:majorTickMark val="none"/>
        <c:minorTickMark val="none"/>
        <c:tickLblPos val="nextTo"/>
        <c:crossAx val="524014720"/>
        <c:crosses val="max"/>
        <c:auto val="1"/>
        <c:lblAlgn val="ctr"/>
        <c:lblOffset val="100"/>
        <c:noMultiLvlLbl val="0"/>
      </c:catAx>
      <c:valAx>
        <c:axId val="524014720"/>
        <c:scaling>
          <c:orientation val="minMax"/>
        </c:scaling>
        <c:delete val="0"/>
        <c:axPos val="l"/>
        <c:majorGridlines>
          <c:spPr>
            <a:ln w="9525" cap="flat" cmpd="sng" algn="ctr">
              <a:solidFill>
                <a:schemeClr val="lt1">
                  <a:lumMod val="95000"/>
                  <a:alpha val="10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5240137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Вспомогательный!$C$124</c:f>
              <c:strCache>
                <c:ptCount val="1"/>
              </c:strCache>
            </c:strRef>
          </c:tx>
          <c:spPr>
            <a:noFill/>
            <a:ln>
              <a:noFill/>
            </a:ln>
            <a:effectLst/>
          </c:spPr>
          <c:invertIfNegative val="0"/>
          <c:cat>
            <c:strRef>
              <c:f>Вспомогательный!$D$123:$AN$123</c:f>
              <c:strCache>
                <c:ptCount val="37"/>
                <c:pt idx="0">
                  <c:v>Август</c:v>
                </c:pt>
                <c:pt idx="1">
                  <c:v>Сентябрь</c:v>
                </c:pt>
                <c:pt idx="2">
                  <c:v>Октябрь</c:v>
                </c:pt>
                <c:pt idx="3">
                  <c:v>Ноябрь</c:v>
                </c:pt>
                <c:pt idx="4">
                  <c:v>Декабрь</c:v>
                </c:pt>
                <c:pt idx="5">
                  <c:v>Январь</c:v>
                </c:pt>
                <c:pt idx="6">
                  <c:v>Февраль</c:v>
                </c:pt>
                <c:pt idx="7">
                  <c:v>Март</c:v>
                </c:pt>
                <c:pt idx="8">
                  <c:v>Апрель</c:v>
                </c:pt>
                <c:pt idx="9">
                  <c:v>Май</c:v>
                </c:pt>
                <c:pt idx="10">
                  <c:v>Июнь</c:v>
                </c:pt>
                <c:pt idx="11">
                  <c:v>Июль</c:v>
                </c:pt>
                <c:pt idx="12">
                  <c:v>Август</c:v>
                </c:pt>
                <c:pt idx="13">
                  <c:v>Сентябрь</c:v>
                </c:pt>
                <c:pt idx="14">
                  <c:v>Октябрь</c:v>
                </c:pt>
                <c:pt idx="15">
                  <c:v>Ноябрь</c:v>
                </c:pt>
                <c:pt idx="16">
                  <c:v>Декабрь</c:v>
                </c:pt>
                <c:pt idx="17">
                  <c:v>Январь</c:v>
                </c:pt>
                <c:pt idx="18">
                  <c:v>Февраль</c:v>
                </c:pt>
                <c:pt idx="19">
                  <c:v>Март</c:v>
                </c:pt>
                <c:pt idx="20">
                  <c:v>Апрель</c:v>
                </c:pt>
                <c:pt idx="21">
                  <c:v>Май</c:v>
                </c:pt>
                <c:pt idx="22">
                  <c:v>Июнь</c:v>
                </c:pt>
                <c:pt idx="23">
                  <c:v>Июль</c:v>
                </c:pt>
                <c:pt idx="24">
                  <c:v>Август</c:v>
                </c:pt>
                <c:pt idx="25">
                  <c:v>Сентябрь</c:v>
                </c:pt>
                <c:pt idx="26">
                  <c:v>Октябрь</c:v>
                </c:pt>
                <c:pt idx="27">
                  <c:v>Ноябрь</c:v>
                </c:pt>
                <c:pt idx="28">
                  <c:v>Декабрь</c:v>
                </c:pt>
                <c:pt idx="29">
                  <c:v>Январь</c:v>
                </c:pt>
                <c:pt idx="30">
                  <c:v>Февраль</c:v>
                </c:pt>
                <c:pt idx="31">
                  <c:v>Март</c:v>
                </c:pt>
                <c:pt idx="32">
                  <c:v>Апрель</c:v>
                </c:pt>
                <c:pt idx="33">
                  <c:v>Май</c:v>
                </c:pt>
                <c:pt idx="34">
                  <c:v>Июнь</c:v>
                </c:pt>
                <c:pt idx="35">
                  <c:v>Июль</c:v>
                </c:pt>
                <c:pt idx="36">
                  <c:v>Август</c:v>
                </c:pt>
              </c:strCache>
            </c:strRef>
          </c:cat>
          <c:val>
            <c:numRef>
              <c:f>Вспомогательный!$D$124:$AN$124</c:f>
              <c:numCache>
                <c:formatCode>General</c:formatCode>
                <c:ptCount val="37"/>
                <c:pt idx="0">
                  <c:v>0</c:v>
                </c:pt>
                <c:pt idx="1">
                  <c:v>0</c:v>
                </c:pt>
                <c:pt idx="2">
                  <c:v>36.000000000000014</c:v>
                </c:pt>
                <c:pt idx="3">
                  <c:v>48.000000000000014</c:v>
                </c:pt>
                <c:pt idx="4">
                  <c:v>60.000000000000014</c:v>
                </c:pt>
                <c:pt idx="5">
                  <c:v>60.000000000000014</c:v>
                </c:pt>
                <c:pt idx="6">
                  <c:v>72.000000000000014</c:v>
                </c:pt>
                <c:pt idx="7">
                  <c:v>72.000000000000014</c:v>
                </c:pt>
                <c:pt idx="8">
                  <c:v>60.000000000000014</c:v>
                </c:pt>
                <c:pt idx="9">
                  <c:v>60.000000000000014</c:v>
                </c:pt>
                <c:pt idx="10">
                  <c:v>60.000000000000014</c:v>
                </c:pt>
                <c:pt idx="11">
                  <c:v>60.000000000000014</c:v>
                </c:pt>
                <c:pt idx="12">
                  <c:v>60.000000000000014</c:v>
                </c:pt>
                <c:pt idx="13">
                  <c:v>79.2</c:v>
                </c:pt>
                <c:pt idx="14">
                  <c:v>91.2</c:v>
                </c:pt>
                <c:pt idx="15">
                  <c:v>91.2</c:v>
                </c:pt>
                <c:pt idx="16">
                  <c:v>76.800000000000026</c:v>
                </c:pt>
                <c:pt idx="17">
                  <c:v>76.800000000000026</c:v>
                </c:pt>
                <c:pt idx="18">
                  <c:v>91.2</c:v>
                </c:pt>
                <c:pt idx="19">
                  <c:v>91.2</c:v>
                </c:pt>
                <c:pt idx="20">
                  <c:v>76.800000000000026</c:v>
                </c:pt>
                <c:pt idx="21">
                  <c:v>76.800000000000026</c:v>
                </c:pt>
                <c:pt idx="22">
                  <c:v>76.800000000000026</c:v>
                </c:pt>
                <c:pt idx="23">
                  <c:v>76.800000000000026</c:v>
                </c:pt>
                <c:pt idx="24">
                  <c:v>76.800000000000026</c:v>
                </c:pt>
                <c:pt idx="25">
                  <c:v>98.400000000000048</c:v>
                </c:pt>
                <c:pt idx="26">
                  <c:v>112.80000000000003</c:v>
                </c:pt>
                <c:pt idx="27">
                  <c:v>117.60000000000001</c:v>
                </c:pt>
                <c:pt idx="28">
                  <c:v>100.80000000000003</c:v>
                </c:pt>
                <c:pt idx="29">
                  <c:v>100.80000000000003</c:v>
                </c:pt>
                <c:pt idx="30">
                  <c:v>117.60000000000001</c:v>
                </c:pt>
                <c:pt idx="31">
                  <c:v>117.60000000000001</c:v>
                </c:pt>
                <c:pt idx="32">
                  <c:v>100.80000000000003</c:v>
                </c:pt>
                <c:pt idx="33">
                  <c:v>100.80000000000003</c:v>
                </c:pt>
                <c:pt idx="34">
                  <c:v>100.80000000000003</c:v>
                </c:pt>
                <c:pt idx="35">
                  <c:v>100.80000000000003</c:v>
                </c:pt>
                <c:pt idx="36">
                  <c:v>100.80000000000003</c:v>
                </c:pt>
              </c:numCache>
            </c:numRef>
          </c:val>
          <c:extLst>
            <c:ext xmlns:c16="http://schemas.microsoft.com/office/drawing/2014/chart" uri="{C3380CC4-5D6E-409C-BE32-E72D297353CC}">
              <c16:uniqueId val="{00000000-4A5B-461E-BE17-79AC31C82135}"/>
            </c:ext>
          </c:extLst>
        </c:ser>
        <c:ser>
          <c:idx val="1"/>
          <c:order val="1"/>
          <c:tx>
            <c:strRef>
              <c:f>Вспомогательный!$C$125</c:f>
              <c:strCache>
                <c:ptCount val="1"/>
                <c:pt idx="0">
                  <c:v>Новые ученики</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path path="circle">
                <a:fillToRect l="50000" t="130000" r="50000" b="-30000"/>
              </a:path>
              <a:tileRect/>
            </a:gradFill>
            <a:ln>
              <a:noFill/>
            </a:ln>
            <a:effectLst>
              <a:outerShdw blurRad="57150" dist="19050" dir="5400000" algn="ctr" rotWithShape="0">
                <a:srgbClr val="000000">
                  <a:alpha val="63000"/>
                </a:srgbClr>
              </a:outerShdw>
            </a:effectLst>
          </c:spPr>
          <c:invertIfNegative val="0"/>
          <c:cat>
            <c:strRef>
              <c:f>Вспомогательный!$D$123:$AN$123</c:f>
              <c:strCache>
                <c:ptCount val="37"/>
                <c:pt idx="0">
                  <c:v>Август</c:v>
                </c:pt>
                <c:pt idx="1">
                  <c:v>Сентябрь</c:v>
                </c:pt>
                <c:pt idx="2">
                  <c:v>Октябрь</c:v>
                </c:pt>
                <c:pt idx="3">
                  <c:v>Ноябрь</c:v>
                </c:pt>
                <c:pt idx="4">
                  <c:v>Декабрь</c:v>
                </c:pt>
                <c:pt idx="5">
                  <c:v>Январь</c:v>
                </c:pt>
                <c:pt idx="6">
                  <c:v>Февраль</c:v>
                </c:pt>
                <c:pt idx="7">
                  <c:v>Март</c:v>
                </c:pt>
                <c:pt idx="8">
                  <c:v>Апрель</c:v>
                </c:pt>
                <c:pt idx="9">
                  <c:v>Май</c:v>
                </c:pt>
                <c:pt idx="10">
                  <c:v>Июнь</c:v>
                </c:pt>
                <c:pt idx="11">
                  <c:v>Июль</c:v>
                </c:pt>
                <c:pt idx="12">
                  <c:v>Август</c:v>
                </c:pt>
                <c:pt idx="13">
                  <c:v>Сентябрь</c:v>
                </c:pt>
                <c:pt idx="14">
                  <c:v>Октябрь</c:v>
                </c:pt>
                <c:pt idx="15">
                  <c:v>Ноябрь</c:v>
                </c:pt>
                <c:pt idx="16">
                  <c:v>Декабрь</c:v>
                </c:pt>
                <c:pt idx="17">
                  <c:v>Январь</c:v>
                </c:pt>
                <c:pt idx="18">
                  <c:v>Февраль</c:v>
                </c:pt>
                <c:pt idx="19">
                  <c:v>Март</c:v>
                </c:pt>
                <c:pt idx="20">
                  <c:v>Апрель</c:v>
                </c:pt>
                <c:pt idx="21">
                  <c:v>Май</c:v>
                </c:pt>
                <c:pt idx="22">
                  <c:v>Июнь</c:v>
                </c:pt>
                <c:pt idx="23">
                  <c:v>Июль</c:v>
                </c:pt>
                <c:pt idx="24">
                  <c:v>Август</c:v>
                </c:pt>
                <c:pt idx="25">
                  <c:v>Сентябрь</c:v>
                </c:pt>
                <c:pt idx="26">
                  <c:v>Октябрь</c:v>
                </c:pt>
                <c:pt idx="27">
                  <c:v>Ноябрь</c:v>
                </c:pt>
                <c:pt idx="28">
                  <c:v>Декабрь</c:v>
                </c:pt>
                <c:pt idx="29">
                  <c:v>Январь</c:v>
                </c:pt>
                <c:pt idx="30">
                  <c:v>Февраль</c:v>
                </c:pt>
                <c:pt idx="31">
                  <c:v>Март</c:v>
                </c:pt>
                <c:pt idx="32">
                  <c:v>Апрель</c:v>
                </c:pt>
                <c:pt idx="33">
                  <c:v>Май</c:v>
                </c:pt>
                <c:pt idx="34">
                  <c:v>Июнь</c:v>
                </c:pt>
                <c:pt idx="35">
                  <c:v>Июль</c:v>
                </c:pt>
                <c:pt idx="36">
                  <c:v>Август</c:v>
                </c:pt>
              </c:strCache>
            </c:strRef>
          </c:cat>
          <c:val>
            <c:numRef>
              <c:f>Вспомогательный!$D$125:$AN$125</c:f>
              <c:numCache>
                <c:formatCode>General</c:formatCode>
                <c:ptCount val="37"/>
                <c:pt idx="0">
                  <c:v>0</c:v>
                </c:pt>
                <c:pt idx="1">
                  <c:v>36.000000000000014</c:v>
                </c:pt>
                <c:pt idx="2">
                  <c:v>12</c:v>
                </c:pt>
                <c:pt idx="3">
                  <c:v>24</c:v>
                </c:pt>
                <c:pt idx="4">
                  <c:v>0</c:v>
                </c:pt>
                <c:pt idx="5">
                  <c:v>12</c:v>
                </c:pt>
                <c:pt idx="6">
                  <c:v>0</c:v>
                </c:pt>
                <c:pt idx="7">
                  <c:v>0</c:v>
                </c:pt>
                <c:pt idx="8">
                  <c:v>0</c:v>
                </c:pt>
                <c:pt idx="9">
                  <c:v>0</c:v>
                </c:pt>
                <c:pt idx="10">
                  <c:v>0</c:v>
                </c:pt>
                <c:pt idx="11">
                  <c:v>0</c:v>
                </c:pt>
                <c:pt idx="12">
                  <c:v>19.199999999999989</c:v>
                </c:pt>
                <c:pt idx="13">
                  <c:v>12</c:v>
                </c:pt>
                <c:pt idx="14">
                  <c:v>0</c:v>
                </c:pt>
                <c:pt idx="15">
                  <c:v>0</c:v>
                </c:pt>
                <c:pt idx="16">
                  <c:v>0</c:v>
                </c:pt>
                <c:pt idx="17">
                  <c:v>14.399999999999977</c:v>
                </c:pt>
                <c:pt idx="18">
                  <c:v>0</c:v>
                </c:pt>
                <c:pt idx="19">
                  <c:v>0</c:v>
                </c:pt>
                <c:pt idx="20">
                  <c:v>0</c:v>
                </c:pt>
                <c:pt idx="21">
                  <c:v>0</c:v>
                </c:pt>
                <c:pt idx="22">
                  <c:v>0</c:v>
                </c:pt>
                <c:pt idx="23">
                  <c:v>0</c:v>
                </c:pt>
                <c:pt idx="24">
                  <c:v>21.600000000000023</c:v>
                </c:pt>
                <c:pt idx="25">
                  <c:v>14.399999999999977</c:v>
                </c:pt>
                <c:pt idx="26">
                  <c:v>4.7999999999999829</c:v>
                </c:pt>
                <c:pt idx="27">
                  <c:v>0</c:v>
                </c:pt>
                <c:pt idx="28">
                  <c:v>0</c:v>
                </c:pt>
                <c:pt idx="29">
                  <c:v>16.799999999999983</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1-4A5B-461E-BE17-79AC31C82135}"/>
            </c:ext>
          </c:extLst>
        </c:ser>
        <c:ser>
          <c:idx val="2"/>
          <c:order val="2"/>
          <c:tx>
            <c:strRef>
              <c:f>Вспомогательный!$C$126</c:f>
              <c:strCache>
                <c:ptCount val="1"/>
                <c:pt idx="0">
                  <c:v>Отток</c:v>
                </c:pt>
              </c:strCache>
            </c:strRef>
          </c:tx>
          <c:spPr>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a:effectLst>
              <a:outerShdw blurRad="57150" dist="19050" dir="5400000" algn="ctr" rotWithShape="0">
                <a:srgbClr val="000000">
                  <a:alpha val="63000"/>
                </a:srgbClr>
              </a:outerShdw>
            </a:effectLst>
          </c:spPr>
          <c:invertIfNegative val="0"/>
          <c:cat>
            <c:strRef>
              <c:f>Вспомогательный!$D$123:$AN$123</c:f>
              <c:strCache>
                <c:ptCount val="37"/>
                <c:pt idx="0">
                  <c:v>Август</c:v>
                </c:pt>
                <c:pt idx="1">
                  <c:v>Сентябрь</c:v>
                </c:pt>
                <c:pt idx="2">
                  <c:v>Октябрь</c:v>
                </c:pt>
                <c:pt idx="3">
                  <c:v>Ноябрь</c:v>
                </c:pt>
                <c:pt idx="4">
                  <c:v>Декабрь</c:v>
                </c:pt>
                <c:pt idx="5">
                  <c:v>Январь</c:v>
                </c:pt>
                <c:pt idx="6">
                  <c:v>Февраль</c:v>
                </c:pt>
                <c:pt idx="7">
                  <c:v>Март</c:v>
                </c:pt>
                <c:pt idx="8">
                  <c:v>Апрель</c:v>
                </c:pt>
                <c:pt idx="9">
                  <c:v>Май</c:v>
                </c:pt>
                <c:pt idx="10">
                  <c:v>Июнь</c:v>
                </c:pt>
                <c:pt idx="11">
                  <c:v>Июль</c:v>
                </c:pt>
                <c:pt idx="12">
                  <c:v>Август</c:v>
                </c:pt>
                <c:pt idx="13">
                  <c:v>Сентябрь</c:v>
                </c:pt>
                <c:pt idx="14">
                  <c:v>Октябрь</c:v>
                </c:pt>
                <c:pt idx="15">
                  <c:v>Ноябрь</c:v>
                </c:pt>
                <c:pt idx="16">
                  <c:v>Декабрь</c:v>
                </c:pt>
                <c:pt idx="17">
                  <c:v>Январь</c:v>
                </c:pt>
                <c:pt idx="18">
                  <c:v>Февраль</c:v>
                </c:pt>
                <c:pt idx="19">
                  <c:v>Март</c:v>
                </c:pt>
                <c:pt idx="20">
                  <c:v>Апрель</c:v>
                </c:pt>
                <c:pt idx="21">
                  <c:v>Май</c:v>
                </c:pt>
                <c:pt idx="22">
                  <c:v>Июнь</c:v>
                </c:pt>
                <c:pt idx="23">
                  <c:v>Июль</c:v>
                </c:pt>
                <c:pt idx="24">
                  <c:v>Август</c:v>
                </c:pt>
                <c:pt idx="25">
                  <c:v>Сентябрь</c:v>
                </c:pt>
                <c:pt idx="26">
                  <c:v>Октябрь</c:v>
                </c:pt>
                <c:pt idx="27">
                  <c:v>Ноябрь</c:v>
                </c:pt>
                <c:pt idx="28">
                  <c:v>Декабрь</c:v>
                </c:pt>
                <c:pt idx="29">
                  <c:v>Январь</c:v>
                </c:pt>
                <c:pt idx="30">
                  <c:v>Февраль</c:v>
                </c:pt>
                <c:pt idx="31">
                  <c:v>Март</c:v>
                </c:pt>
                <c:pt idx="32">
                  <c:v>Апрель</c:v>
                </c:pt>
                <c:pt idx="33">
                  <c:v>Май</c:v>
                </c:pt>
                <c:pt idx="34">
                  <c:v>Июнь</c:v>
                </c:pt>
                <c:pt idx="35">
                  <c:v>Июль</c:v>
                </c:pt>
                <c:pt idx="36">
                  <c:v>Август</c:v>
                </c:pt>
              </c:strCache>
            </c:strRef>
          </c:cat>
          <c:val>
            <c:numRef>
              <c:f>Вспомогательный!$D$126:$AN$126</c:f>
              <c:numCache>
                <c:formatCode>General</c:formatCode>
                <c:ptCount val="37"/>
                <c:pt idx="0">
                  <c:v>0</c:v>
                </c:pt>
                <c:pt idx="1">
                  <c:v>0</c:v>
                </c:pt>
                <c:pt idx="2">
                  <c:v>0</c:v>
                </c:pt>
                <c:pt idx="3">
                  <c:v>0</c:v>
                </c:pt>
                <c:pt idx="4">
                  <c:v>12</c:v>
                </c:pt>
                <c:pt idx="5">
                  <c:v>0</c:v>
                </c:pt>
                <c:pt idx="6">
                  <c:v>0</c:v>
                </c:pt>
                <c:pt idx="7">
                  <c:v>0</c:v>
                </c:pt>
                <c:pt idx="8">
                  <c:v>12</c:v>
                </c:pt>
                <c:pt idx="9">
                  <c:v>0</c:v>
                </c:pt>
                <c:pt idx="10">
                  <c:v>0</c:v>
                </c:pt>
                <c:pt idx="11">
                  <c:v>0</c:v>
                </c:pt>
                <c:pt idx="12">
                  <c:v>0</c:v>
                </c:pt>
                <c:pt idx="13">
                  <c:v>0</c:v>
                </c:pt>
                <c:pt idx="14">
                  <c:v>0</c:v>
                </c:pt>
                <c:pt idx="15">
                  <c:v>0</c:v>
                </c:pt>
                <c:pt idx="16">
                  <c:v>14.399999999999977</c:v>
                </c:pt>
                <c:pt idx="17">
                  <c:v>0</c:v>
                </c:pt>
                <c:pt idx="18">
                  <c:v>0</c:v>
                </c:pt>
                <c:pt idx="19">
                  <c:v>0</c:v>
                </c:pt>
                <c:pt idx="20">
                  <c:v>14.399999999999977</c:v>
                </c:pt>
                <c:pt idx="21">
                  <c:v>0</c:v>
                </c:pt>
                <c:pt idx="22">
                  <c:v>0</c:v>
                </c:pt>
                <c:pt idx="23">
                  <c:v>0</c:v>
                </c:pt>
                <c:pt idx="24">
                  <c:v>0</c:v>
                </c:pt>
                <c:pt idx="25">
                  <c:v>0</c:v>
                </c:pt>
                <c:pt idx="26">
                  <c:v>0</c:v>
                </c:pt>
                <c:pt idx="27">
                  <c:v>0</c:v>
                </c:pt>
                <c:pt idx="28">
                  <c:v>16.799999999999983</c:v>
                </c:pt>
                <c:pt idx="29">
                  <c:v>0</c:v>
                </c:pt>
                <c:pt idx="30">
                  <c:v>0</c:v>
                </c:pt>
                <c:pt idx="31">
                  <c:v>0</c:v>
                </c:pt>
                <c:pt idx="32">
                  <c:v>16.799999999999983</c:v>
                </c:pt>
                <c:pt idx="33">
                  <c:v>0</c:v>
                </c:pt>
                <c:pt idx="34">
                  <c:v>0</c:v>
                </c:pt>
                <c:pt idx="35">
                  <c:v>0</c:v>
                </c:pt>
                <c:pt idx="36">
                  <c:v>0</c:v>
                </c:pt>
              </c:numCache>
            </c:numRef>
          </c:val>
          <c:extLst>
            <c:ext xmlns:c16="http://schemas.microsoft.com/office/drawing/2014/chart" uri="{C3380CC4-5D6E-409C-BE32-E72D297353CC}">
              <c16:uniqueId val="{00000002-4A5B-461E-BE17-79AC31C82135}"/>
            </c:ext>
          </c:extLst>
        </c:ser>
        <c:dLbls>
          <c:showLegendKey val="0"/>
          <c:showVal val="0"/>
          <c:showCatName val="0"/>
          <c:showSerName val="0"/>
          <c:showPercent val="0"/>
          <c:showBubbleSize val="0"/>
        </c:dLbls>
        <c:gapWidth val="150"/>
        <c:overlap val="100"/>
        <c:axId val="702284104"/>
        <c:axId val="702284432"/>
      </c:barChart>
      <c:catAx>
        <c:axId val="70228410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702284432"/>
        <c:crosses val="autoZero"/>
        <c:auto val="1"/>
        <c:lblAlgn val="ctr"/>
        <c:lblOffset val="100"/>
        <c:noMultiLvlLbl val="0"/>
      </c:catAx>
      <c:valAx>
        <c:axId val="70228443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crossAx val="70228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ru-RU"/>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oblab.ru/franchise/"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1.png"/><Relationship Id="rId5" Type="http://schemas.openxmlformats.org/officeDocument/2006/relationships/hyperlink" Target="https://roblab.ru/franchise/" TargetMode="Externa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oblab.ru/franchise/"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oblab.ru/franchise/"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oblab.ru/franchise/"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image" Target="../media/image1.png"/><Relationship Id="rId4" Type="http://schemas.openxmlformats.org/officeDocument/2006/relationships/hyperlink" Target="https://roblab.ru/franchis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27109</xdr:colOff>
      <xdr:row>1</xdr:row>
      <xdr:rowOff>43959</xdr:rowOff>
    </xdr:from>
    <xdr:to>
      <xdr:col>3</xdr:col>
      <xdr:colOff>79131</xdr:colOff>
      <xdr:row>1</xdr:row>
      <xdr:rowOff>441954</xdr:rowOff>
    </xdr:to>
    <xdr:pic>
      <xdr:nvPicPr>
        <xdr:cNvPr id="4" name="Рисунок 3">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92" t="6258" r="3364" b="7081"/>
        <a:stretch/>
      </xdr:blipFill>
      <xdr:spPr>
        <a:xfrm>
          <a:off x="208084" y="205884"/>
          <a:ext cx="994997" cy="39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10</xdr:row>
      <xdr:rowOff>2</xdr:rowOff>
    </xdr:from>
    <xdr:to>
      <xdr:col>1</xdr:col>
      <xdr:colOff>247724</xdr:colOff>
      <xdr:row>11</xdr:row>
      <xdr:rowOff>77</xdr:rowOff>
    </xdr:to>
    <xdr:pic>
      <xdr:nvPicPr>
        <xdr:cNvPr id="7" name="Picture 6" descr="#">
          <a:extLst>
            <a:ext uri="{FF2B5EF4-FFF2-40B4-BE49-F238E27FC236}">
              <a16:creationId xmlns:a16="http://schemas.microsoft.com/office/drawing/2014/main" id="{10B3BBA5-4C31-4AC1-B81E-C541D68C2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2619377"/>
          <a:ext cx="162000"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95249</xdr:colOff>
      <xdr:row>14</xdr:row>
      <xdr:rowOff>0</xdr:rowOff>
    </xdr:from>
    <xdr:to>
      <xdr:col>1</xdr:col>
      <xdr:colOff>257249</xdr:colOff>
      <xdr:row>15</xdr:row>
      <xdr:rowOff>75</xdr:rowOff>
    </xdr:to>
    <xdr:pic>
      <xdr:nvPicPr>
        <xdr:cNvPr id="8" name="Picture 7" descr="#">
          <a:extLst>
            <a:ext uri="{FF2B5EF4-FFF2-40B4-BE49-F238E27FC236}">
              <a16:creationId xmlns:a16="http://schemas.microsoft.com/office/drawing/2014/main" id="{C8519DF5-F2FD-4E09-8BCD-8446F78C8B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4" y="2686050"/>
          <a:ext cx="162000"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85724</xdr:colOff>
      <xdr:row>12</xdr:row>
      <xdr:rowOff>9528</xdr:rowOff>
    </xdr:from>
    <xdr:to>
      <xdr:col>1</xdr:col>
      <xdr:colOff>247724</xdr:colOff>
      <xdr:row>13</xdr:row>
      <xdr:rowOff>9603</xdr:rowOff>
    </xdr:to>
    <xdr:pic>
      <xdr:nvPicPr>
        <xdr:cNvPr id="10" name="Picture 9" descr="#">
          <a:extLst>
            <a:ext uri="{FF2B5EF4-FFF2-40B4-BE49-F238E27FC236}">
              <a16:creationId xmlns:a16="http://schemas.microsoft.com/office/drawing/2014/main" id="{2F680A3D-0BB8-4DDA-A6EE-994E2BC7A4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49" y="2371728"/>
          <a:ext cx="162000"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85724</xdr:colOff>
      <xdr:row>16</xdr:row>
      <xdr:rowOff>3</xdr:rowOff>
    </xdr:from>
    <xdr:to>
      <xdr:col>1</xdr:col>
      <xdr:colOff>247724</xdr:colOff>
      <xdr:row>16</xdr:row>
      <xdr:rowOff>162003</xdr:rowOff>
    </xdr:to>
    <xdr:pic>
      <xdr:nvPicPr>
        <xdr:cNvPr id="11" name="Picture 10" descr="#">
          <a:extLst>
            <a:ext uri="{FF2B5EF4-FFF2-40B4-BE49-F238E27FC236}">
              <a16:creationId xmlns:a16="http://schemas.microsoft.com/office/drawing/2014/main" id="{C832608E-0A4E-4D37-9510-1CFBBE6874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6224" y="3590928"/>
          <a:ext cx="162000"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1</xdr:row>
      <xdr:rowOff>38100</xdr:rowOff>
    </xdr:from>
    <xdr:to>
      <xdr:col>2</xdr:col>
      <xdr:colOff>623522</xdr:colOff>
      <xdr:row>1</xdr:row>
      <xdr:rowOff>436095</xdr:rowOff>
    </xdr:to>
    <xdr:pic>
      <xdr:nvPicPr>
        <xdr:cNvPr id="9" name="Рисунок 8">
          <a:hlinkClick xmlns:r="http://schemas.openxmlformats.org/officeDocument/2006/relationships" r:id="rId5"/>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892" t="6258" r="3364" b="7081"/>
        <a:stretch/>
      </xdr:blipFill>
      <xdr:spPr>
        <a:xfrm>
          <a:off x="161925" y="200025"/>
          <a:ext cx="994997" cy="397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1</xdr:col>
      <xdr:colOff>1042622</xdr:colOff>
      <xdr:row>1</xdr:row>
      <xdr:rowOff>436095</xdr:rowOff>
    </xdr:to>
    <xdr:pic>
      <xdr:nvPicPr>
        <xdr:cNvPr id="3" name="Рисунок 2">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92" t="6258" r="3364" b="7081"/>
        <a:stretch/>
      </xdr:blipFill>
      <xdr:spPr>
        <a:xfrm>
          <a:off x="228600" y="200025"/>
          <a:ext cx="994997" cy="39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1</xdr:col>
      <xdr:colOff>1033097</xdr:colOff>
      <xdr:row>1</xdr:row>
      <xdr:rowOff>426570</xdr:rowOff>
    </xdr:to>
    <xdr:pic>
      <xdr:nvPicPr>
        <xdr:cNvPr id="4" name="Рисунок 3">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92" t="6258" r="3364" b="7081"/>
        <a:stretch/>
      </xdr:blipFill>
      <xdr:spPr>
        <a:xfrm>
          <a:off x="142875" y="219075"/>
          <a:ext cx="994997" cy="39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2</xdr:col>
      <xdr:colOff>747347</xdr:colOff>
      <xdr:row>1</xdr:row>
      <xdr:rowOff>426570</xdr:rowOff>
    </xdr:to>
    <xdr:pic>
      <xdr:nvPicPr>
        <xdr:cNvPr id="3" name="Рисунок 2">
          <a:hlinkClick xmlns:r="http://schemas.openxmlformats.org/officeDocument/2006/relationships" r:id="rId1"/>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92" t="6258" r="3364" b="7081"/>
        <a:stretch/>
      </xdr:blipFill>
      <xdr:spPr>
        <a:xfrm>
          <a:off x="142875" y="190500"/>
          <a:ext cx="994997" cy="39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47</xdr:row>
      <xdr:rowOff>0</xdr:rowOff>
    </xdr:from>
    <xdr:ext cx="9820276" cy="2552700"/>
    <xdr:graphicFrame macro="">
      <xdr:nvGraphicFramePr>
        <xdr:cNvPr id="6" name="Диаграмма 3">
          <a:extLst>
            <a:ext uri="{FF2B5EF4-FFF2-40B4-BE49-F238E27FC236}">
              <a16:creationId xmlns:a16="http://schemas.microsoft.com/office/drawing/2014/main" id="{7B7D80E7-BCFD-4FC0-AFD0-6F8895EA2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64</xdr:row>
      <xdr:rowOff>0</xdr:rowOff>
    </xdr:from>
    <xdr:ext cx="9829799" cy="2238375"/>
    <xdr:graphicFrame macro="">
      <xdr:nvGraphicFramePr>
        <xdr:cNvPr id="7" name="Диаграмма 4">
          <a:extLst>
            <a:ext uri="{FF2B5EF4-FFF2-40B4-BE49-F238E27FC236}">
              <a16:creationId xmlns:a16="http://schemas.microsoft.com/office/drawing/2014/main" id="{5F259A11-0C75-4CE3-83B0-D8D02FAFC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0</xdr:col>
      <xdr:colOff>19050</xdr:colOff>
      <xdr:row>96</xdr:row>
      <xdr:rowOff>19050</xdr:rowOff>
    </xdr:from>
    <xdr:to>
      <xdr:col>9</xdr:col>
      <xdr:colOff>476250</xdr:colOff>
      <xdr:row>110</xdr:row>
      <xdr:rowOff>95250</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19050</xdr:colOff>
      <xdr:row>1</xdr:row>
      <xdr:rowOff>28575</xdr:rowOff>
    </xdr:from>
    <xdr:to>
      <xdr:col>1</xdr:col>
      <xdr:colOff>1014047</xdr:colOff>
      <xdr:row>1</xdr:row>
      <xdr:rowOff>426570</xdr:rowOff>
    </xdr:to>
    <xdr:pic>
      <xdr:nvPicPr>
        <xdr:cNvPr id="9" name="Рисунок 8">
          <a:hlinkClick xmlns:r="http://schemas.openxmlformats.org/officeDocument/2006/relationships" r:id="rId4"/>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892" t="6258" r="3364" b="7081"/>
        <a:stretch/>
      </xdr:blipFill>
      <xdr:spPr>
        <a:xfrm>
          <a:off x="133350" y="219075"/>
          <a:ext cx="994997" cy="397995"/>
        </a:xfrm>
        <a:prstGeom prst="rect">
          <a:avLst/>
        </a:prstGeom>
      </xdr:spPr>
    </xdr:pic>
    <xdr:clientData/>
  </xdr:twoCellAnchor>
  <xdr:twoCellAnchor editAs="oneCell">
    <xdr:from>
      <xdr:col>0</xdr:col>
      <xdr:colOff>0</xdr:colOff>
      <xdr:row>78</xdr:row>
      <xdr:rowOff>0</xdr:rowOff>
    </xdr:from>
    <xdr:to>
      <xdr:col>9</xdr:col>
      <xdr:colOff>466725</xdr:colOff>
      <xdr:row>93</xdr:row>
      <xdr:rowOff>28575</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2:BB41"/>
  <sheetViews>
    <sheetView tabSelected="1" zoomScaleNormal="100" workbookViewId="0"/>
  </sheetViews>
  <sheetFormatPr defaultRowHeight="15" x14ac:dyDescent="0.25"/>
  <cols>
    <col min="1" max="1" width="1.28515625" style="7" customWidth="1"/>
    <col min="2" max="2" width="5" style="7" customWidth="1"/>
    <col min="3" max="12" width="9.140625" style="7"/>
    <col min="13" max="13" width="17.7109375" style="7" customWidth="1"/>
    <col min="14" max="16384" width="9.140625" style="7"/>
  </cols>
  <sheetData>
    <row r="2" spans="1:37" s="6" customFormat="1" ht="36" customHeight="1" x14ac:dyDescent="0.35">
      <c r="A2" s="1" t="s">
        <v>207</v>
      </c>
      <c r="B2" s="2"/>
      <c r="C2" s="3"/>
      <c r="D2" s="4"/>
      <c r="E2" s="4"/>
      <c r="F2" s="4"/>
      <c r="G2" s="4"/>
      <c r="H2" s="4"/>
      <c r="I2" s="4"/>
      <c r="J2" s="4"/>
      <c r="K2" s="3"/>
      <c r="L2" s="3"/>
      <c r="M2" s="5"/>
      <c r="N2" s="5"/>
      <c r="O2" s="5"/>
      <c r="P2" s="5"/>
      <c r="Q2" s="2"/>
      <c r="R2" s="2"/>
      <c r="S2" s="2"/>
      <c r="T2" s="2"/>
      <c r="U2" s="2"/>
      <c r="V2" s="2"/>
      <c r="W2" s="2"/>
      <c r="X2" s="2"/>
      <c r="Y2" s="2"/>
      <c r="Z2" s="2"/>
      <c r="AA2" s="2"/>
      <c r="AB2" s="2"/>
      <c r="AC2" s="2"/>
      <c r="AD2" s="2"/>
      <c r="AE2" s="2"/>
      <c r="AF2" s="2"/>
      <c r="AG2" s="2"/>
      <c r="AH2" s="2"/>
      <c r="AI2" s="2"/>
      <c r="AJ2" s="2"/>
      <c r="AK2" s="2"/>
    </row>
    <row r="4" spans="1:37" ht="30" customHeight="1" x14ac:dyDescent="0.25">
      <c r="B4" s="10" t="s">
        <v>211</v>
      </c>
      <c r="C4" s="194" t="s">
        <v>314</v>
      </c>
      <c r="D4" s="194"/>
      <c r="E4" s="194"/>
      <c r="F4" s="194"/>
      <c r="G4" s="194"/>
      <c r="H4" s="194"/>
      <c r="I4" s="194"/>
      <c r="J4" s="194"/>
      <c r="K4" s="194"/>
      <c r="L4" s="194"/>
      <c r="M4" s="194"/>
      <c r="P4" s="9"/>
    </row>
    <row r="5" spans="1:37" ht="15.75" x14ac:dyDescent="0.25">
      <c r="B5" s="10"/>
      <c r="C5" s="11"/>
      <c r="D5" s="8"/>
      <c r="E5" s="8"/>
      <c r="F5" s="8"/>
      <c r="G5" s="8"/>
      <c r="H5" s="8"/>
      <c r="I5" s="8"/>
      <c r="J5" s="8"/>
      <c r="K5" s="8"/>
      <c r="L5" s="8"/>
      <c r="M5" s="8"/>
      <c r="P5" s="9"/>
    </row>
    <row r="6" spans="1:37" ht="30.75" customHeight="1" x14ac:dyDescent="0.25">
      <c r="B6" s="10" t="s">
        <v>211</v>
      </c>
      <c r="C6" s="194" t="s">
        <v>308</v>
      </c>
      <c r="D6" s="194"/>
      <c r="E6" s="194"/>
      <c r="F6" s="194"/>
      <c r="G6" s="194"/>
      <c r="H6" s="194"/>
      <c r="I6" s="194"/>
      <c r="J6" s="194"/>
      <c r="K6" s="194"/>
      <c r="L6" s="194"/>
      <c r="M6" s="194"/>
      <c r="P6" s="9"/>
    </row>
    <row r="7" spans="1:37" ht="15" customHeight="1" x14ac:dyDescent="0.25">
      <c r="B7" s="10"/>
      <c r="C7" s="19"/>
      <c r="D7" s="12" t="s">
        <v>187</v>
      </c>
      <c r="E7" s="8" t="s">
        <v>249</v>
      </c>
      <c r="F7" s="8"/>
      <c r="G7" s="8"/>
      <c r="H7" s="8"/>
      <c r="I7" s="8"/>
      <c r="J7" s="8"/>
      <c r="K7" s="8"/>
      <c r="L7" s="8"/>
      <c r="M7" s="8"/>
      <c r="P7" s="9"/>
    </row>
    <row r="8" spans="1:37" ht="15.75" x14ac:dyDescent="0.25">
      <c r="B8" s="10"/>
      <c r="C8" s="20"/>
      <c r="D8" s="12" t="s">
        <v>187</v>
      </c>
      <c r="E8" s="194" t="s">
        <v>275</v>
      </c>
      <c r="F8" s="194"/>
      <c r="G8" s="194"/>
      <c r="H8" s="194"/>
      <c r="I8" s="194"/>
      <c r="J8" s="194"/>
      <c r="K8" s="194"/>
      <c r="L8" s="194"/>
      <c r="M8" s="194"/>
      <c r="P8" s="9"/>
    </row>
    <row r="9" spans="1:37" ht="42.75" customHeight="1" x14ac:dyDescent="0.25">
      <c r="B9" s="10" t="s">
        <v>211</v>
      </c>
      <c r="C9" s="194" t="s">
        <v>276</v>
      </c>
      <c r="D9" s="194"/>
      <c r="E9" s="194"/>
      <c r="F9" s="194"/>
      <c r="G9" s="194"/>
      <c r="H9" s="194"/>
      <c r="I9" s="194"/>
      <c r="J9" s="194"/>
      <c r="K9" s="194"/>
      <c r="L9" s="194"/>
      <c r="M9" s="194"/>
      <c r="P9" s="9"/>
    </row>
    <row r="10" spans="1:37" ht="15.75" x14ac:dyDescent="0.25">
      <c r="B10" s="10"/>
      <c r="C10" s="13" t="s">
        <v>188</v>
      </c>
      <c r="D10" s="12" t="s">
        <v>187</v>
      </c>
      <c r="E10" s="8" t="s">
        <v>250</v>
      </c>
      <c r="F10" s="8"/>
      <c r="G10" s="8"/>
      <c r="H10" s="8"/>
      <c r="I10" s="8"/>
      <c r="J10" s="8"/>
      <c r="K10" s="8"/>
      <c r="L10" s="8"/>
      <c r="M10" s="8"/>
      <c r="P10" s="9"/>
    </row>
    <row r="11" spans="1:37" ht="15.75" x14ac:dyDescent="0.25">
      <c r="B11" s="10"/>
      <c r="C11" s="13" t="s">
        <v>188</v>
      </c>
      <c r="D11" s="12" t="s">
        <v>187</v>
      </c>
      <c r="E11" s="8" t="s">
        <v>239</v>
      </c>
      <c r="F11" s="8"/>
      <c r="G11" s="8"/>
      <c r="H11" s="8"/>
      <c r="I11" s="8"/>
      <c r="J11" s="8"/>
      <c r="K11" s="8"/>
      <c r="L11" s="8"/>
      <c r="M11" s="8"/>
      <c r="P11" s="9"/>
    </row>
    <row r="12" spans="1:37" ht="31.5" customHeight="1" x14ac:dyDescent="0.25">
      <c r="B12" s="10" t="s">
        <v>211</v>
      </c>
      <c r="C12" s="194" t="s">
        <v>272</v>
      </c>
      <c r="D12" s="194"/>
      <c r="E12" s="194"/>
      <c r="F12" s="194"/>
      <c r="G12" s="194"/>
      <c r="H12" s="194"/>
      <c r="I12" s="194"/>
      <c r="J12" s="194"/>
      <c r="K12" s="194"/>
      <c r="L12" s="194"/>
      <c r="M12" s="194"/>
    </row>
    <row r="13" spans="1:37" ht="19.5" customHeight="1" x14ac:dyDescent="0.25">
      <c r="B13" s="10"/>
      <c r="C13" s="14"/>
      <c r="D13" s="14"/>
      <c r="E13" s="14"/>
      <c r="F13" s="14"/>
      <c r="G13" s="14"/>
      <c r="H13" s="14"/>
      <c r="I13" s="14"/>
      <c r="J13" s="14"/>
      <c r="K13" s="14"/>
      <c r="L13" s="14"/>
      <c r="M13" s="14"/>
    </row>
    <row r="14" spans="1:37" ht="15.75" x14ac:dyDescent="0.25">
      <c r="B14" s="15" t="s">
        <v>251</v>
      </c>
      <c r="C14" s="13"/>
      <c r="D14" s="12"/>
      <c r="E14" s="8"/>
      <c r="F14" s="8"/>
      <c r="G14" s="8"/>
      <c r="H14" s="8"/>
      <c r="I14" s="8"/>
      <c r="J14" s="8"/>
      <c r="K14" s="8"/>
      <c r="L14" s="8"/>
      <c r="M14" s="8"/>
      <c r="P14" s="9"/>
    </row>
    <row r="15" spans="1:37" ht="49.5" customHeight="1" x14ac:dyDescent="0.25">
      <c r="B15" s="10" t="s">
        <v>211</v>
      </c>
      <c r="C15" s="194" t="s">
        <v>256</v>
      </c>
      <c r="D15" s="194"/>
      <c r="E15" s="194"/>
      <c r="F15" s="194"/>
      <c r="G15" s="194"/>
      <c r="H15" s="194"/>
      <c r="I15" s="194"/>
      <c r="J15" s="194"/>
      <c r="K15" s="194"/>
      <c r="L15" s="194"/>
      <c r="M15" s="194"/>
      <c r="P15" s="9"/>
    </row>
    <row r="16" spans="1:37" ht="15.75" x14ac:dyDescent="0.25">
      <c r="B16" s="10" t="s">
        <v>211</v>
      </c>
      <c r="C16" s="195" t="s">
        <v>169</v>
      </c>
      <c r="D16" s="195"/>
      <c r="E16" s="195"/>
      <c r="F16" s="195"/>
      <c r="G16" s="195"/>
      <c r="H16" s="195"/>
      <c r="I16" s="195"/>
      <c r="J16" s="16"/>
      <c r="K16" s="16"/>
      <c r="L16" s="16"/>
      <c r="M16" s="16"/>
      <c r="P16" s="9"/>
    </row>
    <row r="17" spans="1:54" ht="31.5" customHeight="1" x14ac:dyDescent="0.25">
      <c r="B17" s="10" t="s">
        <v>211</v>
      </c>
      <c r="C17" s="194" t="s">
        <v>313</v>
      </c>
      <c r="D17" s="194"/>
      <c r="E17" s="194"/>
      <c r="F17" s="194"/>
      <c r="G17" s="194"/>
      <c r="H17" s="194"/>
      <c r="I17" s="194"/>
      <c r="J17" s="194"/>
      <c r="K17" s="194"/>
      <c r="L17" s="194"/>
      <c r="M17" s="194"/>
      <c r="P17" s="9"/>
    </row>
    <row r="18" spans="1:54" ht="30" customHeight="1" x14ac:dyDescent="0.25">
      <c r="B18" s="10" t="s">
        <v>211</v>
      </c>
      <c r="C18" s="194" t="s">
        <v>309</v>
      </c>
      <c r="D18" s="194"/>
      <c r="E18" s="194"/>
      <c r="F18" s="194"/>
      <c r="G18" s="194"/>
      <c r="H18" s="194"/>
      <c r="I18" s="194"/>
      <c r="J18" s="194"/>
      <c r="K18" s="194"/>
      <c r="L18" s="194"/>
      <c r="M18" s="194"/>
    </row>
    <row r="19" spans="1:54" ht="108.75" customHeight="1" x14ac:dyDescent="0.25">
      <c r="B19" s="10" t="s">
        <v>211</v>
      </c>
      <c r="C19" s="194" t="s">
        <v>310</v>
      </c>
      <c r="D19" s="194"/>
      <c r="E19" s="194"/>
      <c r="F19" s="194"/>
      <c r="G19" s="194"/>
      <c r="H19" s="194"/>
      <c r="I19" s="194"/>
      <c r="J19" s="194"/>
      <c r="K19" s="194"/>
      <c r="L19" s="194"/>
      <c r="M19" s="194"/>
    </row>
    <row r="20" spans="1:54" ht="48.75" customHeight="1" x14ac:dyDescent="0.25">
      <c r="B20" s="10" t="s">
        <v>211</v>
      </c>
      <c r="C20" s="194" t="s">
        <v>311</v>
      </c>
      <c r="D20" s="194"/>
      <c r="E20" s="194"/>
      <c r="F20" s="194"/>
      <c r="G20" s="194"/>
      <c r="H20" s="194"/>
      <c r="I20" s="194"/>
      <c r="J20" s="194"/>
      <c r="K20" s="194"/>
      <c r="L20" s="194"/>
      <c r="M20" s="194"/>
    </row>
    <row r="21" spans="1:54" ht="15.75" x14ac:dyDescent="0.25">
      <c r="B21" s="10"/>
      <c r="C21" s="16"/>
      <c r="D21" s="16"/>
      <c r="E21" s="16"/>
      <c r="F21" s="16"/>
      <c r="G21" s="16"/>
      <c r="H21" s="16"/>
      <c r="I21" s="16"/>
      <c r="J21" s="16"/>
      <c r="K21" s="16"/>
      <c r="L21" s="16"/>
      <c r="M21" s="16"/>
    </row>
    <row r="22" spans="1:54" ht="60" customHeight="1" x14ac:dyDescent="0.25">
      <c r="B22" s="10" t="s">
        <v>263</v>
      </c>
      <c r="C22" s="194" t="s">
        <v>257</v>
      </c>
      <c r="D22" s="194"/>
      <c r="E22" s="194"/>
      <c r="F22" s="194"/>
      <c r="G22" s="194"/>
      <c r="H22" s="194"/>
      <c r="I22" s="194"/>
      <c r="J22" s="194"/>
      <c r="K22" s="194"/>
      <c r="L22" s="194"/>
      <c r="M22" s="194"/>
    </row>
    <row r="23" spans="1:54" ht="15.75" x14ac:dyDescent="0.25">
      <c r="B23" s="10"/>
      <c r="C23" s="16"/>
      <c r="D23" s="16"/>
      <c r="E23" s="16"/>
      <c r="F23" s="16"/>
      <c r="G23" s="16"/>
      <c r="H23" s="16"/>
      <c r="I23" s="16"/>
      <c r="J23" s="16"/>
      <c r="K23" s="16"/>
      <c r="L23" s="16"/>
      <c r="M23" s="16"/>
    </row>
    <row r="24" spans="1:54" ht="113.25" customHeight="1" x14ac:dyDescent="0.25">
      <c r="B24" s="10" t="s">
        <v>263</v>
      </c>
      <c r="C24" s="194" t="s">
        <v>277</v>
      </c>
      <c r="D24" s="194"/>
      <c r="E24" s="194"/>
      <c r="F24" s="194"/>
      <c r="G24" s="194"/>
      <c r="H24" s="194"/>
      <c r="I24" s="194"/>
      <c r="J24" s="194"/>
      <c r="K24" s="194"/>
      <c r="L24" s="194"/>
      <c r="M24" s="194"/>
    </row>
    <row r="25" spans="1:54" ht="15.75" x14ac:dyDescent="0.25">
      <c r="B25" s="10"/>
      <c r="C25" s="16"/>
      <c r="D25" s="16"/>
      <c r="E25" s="16"/>
      <c r="F25" s="16"/>
      <c r="G25" s="16"/>
      <c r="H25" s="16"/>
      <c r="I25" s="16"/>
      <c r="J25" s="16"/>
      <c r="K25" s="16"/>
      <c r="L25" s="16"/>
      <c r="M25" s="16"/>
    </row>
    <row r="26" spans="1:54" ht="77.25" customHeight="1" x14ac:dyDescent="0.25">
      <c r="B26" s="10" t="s">
        <v>263</v>
      </c>
      <c r="C26" s="194" t="s">
        <v>278</v>
      </c>
      <c r="D26" s="194"/>
      <c r="E26" s="194"/>
      <c r="F26" s="194"/>
      <c r="G26" s="194"/>
      <c r="H26" s="194"/>
      <c r="I26" s="194"/>
      <c r="J26" s="194"/>
      <c r="K26" s="194"/>
      <c r="L26" s="194"/>
      <c r="M26" s="194"/>
    </row>
    <row r="27" spans="1:54" ht="15.75" x14ac:dyDescent="0.25">
      <c r="B27" s="17"/>
    </row>
    <row r="28" spans="1:54" ht="109.5" customHeight="1" x14ac:dyDescent="0.25">
      <c r="B28" s="10" t="s">
        <v>263</v>
      </c>
      <c r="C28" s="194" t="s">
        <v>312</v>
      </c>
      <c r="D28" s="194"/>
      <c r="E28" s="194"/>
      <c r="F28" s="194"/>
      <c r="G28" s="194"/>
      <c r="H28" s="194"/>
      <c r="I28" s="194"/>
      <c r="J28" s="194"/>
      <c r="K28" s="194"/>
      <c r="L28" s="194"/>
      <c r="M28" s="194"/>
    </row>
    <row r="29" spans="1:54" ht="15.75" x14ac:dyDescent="0.25">
      <c r="B29" s="17"/>
    </row>
    <row r="30" spans="1:54" s="189" customFormat="1" ht="30" customHeight="1" x14ac:dyDescent="0.2">
      <c r="A30" s="185" t="s">
        <v>210</v>
      </c>
      <c r="B30" s="186"/>
      <c r="C30" s="187"/>
      <c r="D30" s="187"/>
      <c r="E30" s="188"/>
      <c r="F30" s="188"/>
      <c r="G30" s="188"/>
      <c r="H30" s="188"/>
      <c r="I30" s="188"/>
      <c r="J30" s="188"/>
      <c r="K30" s="188"/>
      <c r="Q30" s="187"/>
      <c r="R30" s="187"/>
      <c r="S30" s="187"/>
      <c r="T30" s="187"/>
      <c r="U30" s="187"/>
      <c r="V30" s="187"/>
      <c r="W30" s="187"/>
      <c r="X30" s="187"/>
      <c r="Y30" s="187"/>
      <c r="Z30" s="187"/>
      <c r="AA30" s="188"/>
      <c r="AB30" s="188"/>
      <c r="AD30" s="188"/>
      <c r="AE30" s="188"/>
      <c r="AF30" s="188"/>
      <c r="AG30" s="188"/>
      <c r="AH30" s="188"/>
      <c r="AI30" s="188"/>
      <c r="AJ30" s="188"/>
      <c r="AK30" s="188"/>
      <c r="AL30" s="188"/>
      <c r="AM30" s="188"/>
      <c r="AN30" s="188"/>
      <c r="AO30" s="188"/>
      <c r="AQ30" s="188"/>
      <c r="AR30" s="188"/>
      <c r="AS30" s="188"/>
      <c r="AT30" s="188"/>
      <c r="AU30" s="188"/>
      <c r="AV30" s="188"/>
      <c r="AW30" s="188"/>
      <c r="AX30" s="188"/>
      <c r="AY30" s="188"/>
      <c r="AZ30" s="188"/>
      <c r="BA30" s="188"/>
      <c r="BB30" s="188"/>
    </row>
    <row r="31" spans="1:54" s="184" customFormat="1" ht="21" x14ac:dyDescent="0.25">
      <c r="A31" s="182" t="str">
        <f>HYPERLINK("https://roblab.ru/franchise/","Перейти на сайт ")</f>
        <v xml:space="preserve">Перейти на сайт </v>
      </c>
      <c r="B31" s="183"/>
      <c r="C31" s="183"/>
      <c r="D31" s="183"/>
      <c r="E31" s="183"/>
      <c r="F31" s="183"/>
      <c r="G31" s="183"/>
      <c r="H31" s="183"/>
      <c r="I31" s="183"/>
      <c r="J31" s="183"/>
      <c r="K31" s="183"/>
      <c r="Q31" s="183"/>
      <c r="R31" s="183"/>
      <c r="S31" s="183"/>
      <c r="T31" s="183"/>
      <c r="U31" s="183"/>
      <c r="V31" s="183"/>
      <c r="W31" s="183"/>
      <c r="X31" s="183"/>
      <c r="Y31" s="183"/>
      <c r="Z31" s="183"/>
      <c r="AA31" s="183"/>
      <c r="AB31" s="183"/>
      <c r="AD31" s="183"/>
      <c r="AE31" s="183"/>
      <c r="AF31" s="183"/>
      <c r="AG31" s="183"/>
      <c r="AH31" s="183"/>
      <c r="AI31" s="183"/>
      <c r="AJ31" s="183"/>
      <c r="AK31" s="183"/>
      <c r="AL31" s="183"/>
      <c r="AM31" s="183"/>
      <c r="AN31" s="183"/>
      <c r="AO31" s="183"/>
      <c r="AQ31" s="183"/>
      <c r="AR31" s="183"/>
      <c r="AS31" s="183"/>
      <c r="AT31" s="183"/>
      <c r="AU31" s="183"/>
      <c r="AV31" s="183"/>
      <c r="AW31" s="183"/>
      <c r="AX31" s="183"/>
      <c r="AY31" s="183"/>
      <c r="AZ31" s="183"/>
      <c r="BA31" s="183"/>
      <c r="BB31" s="183"/>
    </row>
    <row r="32" spans="1:54" x14ac:dyDescent="0.25">
      <c r="B32" s="18"/>
    </row>
    <row r="33" spans="2:2" x14ac:dyDescent="0.25">
      <c r="B33" s="18"/>
    </row>
    <row r="34" spans="2:2" x14ac:dyDescent="0.25">
      <c r="B34" s="18"/>
    </row>
    <row r="35" spans="2:2" x14ac:dyDescent="0.25">
      <c r="B35" s="18"/>
    </row>
    <row r="36" spans="2:2" x14ac:dyDescent="0.25">
      <c r="B36" s="18"/>
    </row>
    <row r="37" spans="2:2" x14ac:dyDescent="0.25">
      <c r="B37" s="18"/>
    </row>
    <row r="38" spans="2:2" x14ac:dyDescent="0.25">
      <c r="B38" s="18"/>
    </row>
    <row r="39" spans="2:2" x14ac:dyDescent="0.25">
      <c r="B39" s="18"/>
    </row>
    <row r="40" spans="2:2" x14ac:dyDescent="0.25">
      <c r="B40" s="18"/>
    </row>
    <row r="41" spans="2:2" x14ac:dyDescent="0.25">
      <c r="B41" s="18"/>
    </row>
  </sheetData>
  <sheetProtection algorithmName="SHA-512" hashValue="a2AxDB8uejVrdNTL8IMPZlsBbQIBPLbMoo+q29mzIEQJbii+cnqjszP5N5utD5eB9uwhQCxWeDXTm7cSTX528Q==" saltValue="CHMF8C8HvN3Iu/sqA2jRaw==" spinCount="100000" sheet="1" objects="1" scenarios="1" formatCells="0"/>
  <mergeCells count="15">
    <mergeCell ref="C24:M24"/>
    <mergeCell ref="C28:M28"/>
    <mergeCell ref="C6:M6"/>
    <mergeCell ref="C17:M17"/>
    <mergeCell ref="C26:M26"/>
    <mergeCell ref="C22:M22"/>
    <mergeCell ref="C20:M20"/>
    <mergeCell ref="C4:M4"/>
    <mergeCell ref="E8:M8"/>
    <mergeCell ref="C9:M9"/>
    <mergeCell ref="C16:I16"/>
    <mergeCell ref="C19:M19"/>
    <mergeCell ref="C15:M15"/>
    <mergeCell ref="C12:M12"/>
    <mergeCell ref="C18:M18"/>
  </mergeCell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Вспомогательный!$S$16:$S$18</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2:I28"/>
  <sheetViews>
    <sheetView zoomScaleNormal="100" workbookViewId="0"/>
  </sheetViews>
  <sheetFormatPr defaultRowHeight="12.75" x14ac:dyDescent="0.2"/>
  <cols>
    <col min="1" max="1" width="3" style="6" customWidth="1"/>
    <col min="2" max="2" width="5" style="6" customWidth="1"/>
    <col min="3" max="3" width="27.28515625" style="6" customWidth="1"/>
    <col min="4" max="4" width="15.42578125" style="6" customWidth="1"/>
    <col min="5" max="5" width="4.140625" style="6" customWidth="1"/>
    <col min="6" max="6" width="107.7109375" style="6" customWidth="1"/>
    <col min="7" max="7" width="29" style="6" customWidth="1"/>
    <col min="8" max="8" width="15.42578125" style="6" customWidth="1"/>
    <col min="9" max="9" width="3.42578125" style="6" customWidth="1"/>
    <col min="10" max="16384" width="9.140625" style="6"/>
  </cols>
  <sheetData>
    <row r="2" spans="1:9" ht="36" customHeight="1" x14ac:dyDescent="0.35">
      <c r="A2" s="1" t="s">
        <v>207</v>
      </c>
      <c r="B2" s="2"/>
      <c r="C2" s="3"/>
      <c r="D2" s="4"/>
      <c r="E2" s="4"/>
      <c r="F2" s="4"/>
      <c r="G2" s="4"/>
      <c r="H2" s="4"/>
      <c r="I2" s="4"/>
    </row>
    <row r="4" spans="1:9" ht="18.75" x14ac:dyDescent="0.3">
      <c r="B4" s="21" t="s">
        <v>189</v>
      </c>
    </row>
    <row r="5" spans="1:9" ht="9" customHeight="1" x14ac:dyDescent="0.2"/>
    <row r="6" spans="1:9" ht="12.75" customHeight="1" x14ac:dyDescent="0.2">
      <c r="C6" s="24" t="s">
        <v>190</v>
      </c>
      <c r="D6" s="69"/>
      <c r="E6" s="25" t="s">
        <v>188</v>
      </c>
      <c r="F6" s="26" t="str">
        <f>IF(D6&lt;&gt;Вводные!BH7,"Выберите значение в столбец D для месяца старта проекта. Сейчас показатели посчитаны по умолчанию, если месяцем запуска проекта будет " &amp; Вводные!BH7,"") &amp; IF(AND(D6="",Вводные!BH7=""),"Введите значение в столбец D или выберите значение по умолчанию выше","")</f>
        <v>Выберите значение в столбец D для месяца старта проекта. Сейчас показатели посчитаны по умолчанию, если месяцем запуска проекта будет Август</v>
      </c>
      <c r="H6" s="27"/>
      <c r="I6" s="27"/>
    </row>
    <row r="7" spans="1:9" x14ac:dyDescent="0.2">
      <c r="C7" s="24" t="s">
        <v>195</v>
      </c>
      <c r="D7" s="69"/>
      <c r="E7" s="25" t="s">
        <v>188</v>
      </c>
      <c r="F7" s="196" t="str">
        <f>IF(D7="","Выберите тариф, который вам подходит",VLOOKUP(D7,Вспомогательный!J16:M18,4,FALSE))</f>
        <v>Выберите тариф, который вам подходит</v>
      </c>
    </row>
    <row r="8" spans="1:9" ht="13.5" thickBot="1" x14ac:dyDescent="0.25">
      <c r="B8" s="28"/>
      <c r="C8" s="22"/>
      <c r="D8" s="29"/>
      <c r="E8" s="22"/>
      <c r="F8" s="196"/>
      <c r="G8" s="22"/>
    </row>
    <row r="9" spans="1:9" ht="19.5" customHeight="1" x14ac:dyDescent="0.25">
      <c r="B9" s="30"/>
      <c r="C9" s="31" t="s">
        <v>264</v>
      </c>
      <c r="D9" s="32" t="str">
        <f>IF(AND(Вводные!$BG$8&lt;&gt;"",Вводные!$BG$8&lt;&gt;Вспомогательный!$I$17),Вводные!$BG$8,Вводные!$BF$8)</f>
        <v>Максимальный</v>
      </c>
      <c r="E9" s="25" t="s">
        <v>188</v>
      </c>
      <c r="F9" s="33" t="s">
        <v>243</v>
      </c>
      <c r="G9" s="34"/>
      <c r="H9" s="34"/>
      <c r="I9" s="34"/>
    </row>
    <row r="10" spans="1:9" x14ac:dyDescent="0.2">
      <c r="B10" s="35"/>
      <c r="C10" s="34"/>
      <c r="D10" s="36" t="str">
        <f ca="1">IF(AND(D9=Вводные!$BF$8,'Выбор франшизы'!$D$17=Вводные!$BE$8),".","")</f>
        <v/>
      </c>
      <c r="E10" s="34"/>
      <c r="F10" s="37"/>
      <c r="G10" s="34"/>
      <c r="H10" s="34"/>
      <c r="I10" s="34"/>
    </row>
    <row r="11" spans="1:9" x14ac:dyDescent="0.2">
      <c r="B11" s="35"/>
      <c r="C11" s="37" t="s">
        <v>62</v>
      </c>
      <c r="D11" s="38">
        <f>IF(ISERROR(VLOOKUP('Выбор франшизы'!$D$7,Вспомогательный!$J$16:$L$18,2))=TRUE,0,VLOOKUP('Выбор франшизы'!$D$7,Вспомогательный!$J$16:$L$18,2))</f>
        <v>0</v>
      </c>
      <c r="E11" s="25" t="s">
        <v>188</v>
      </c>
      <c r="F11" s="37" t="s">
        <v>266</v>
      </c>
      <c r="G11" s="37"/>
      <c r="H11" s="39"/>
      <c r="I11" s="34"/>
    </row>
    <row r="12" spans="1:9" x14ac:dyDescent="0.2">
      <c r="B12" s="35"/>
      <c r="C12" s="34"/>
      <c r="D12" s="38"/>
      <c r="E12" s="34"/>
      <c r="F12" s="37"/>
      <c r="G12" s="34"/>
      <c r="H12" s="34"/>
      <c r="I12" s="34"/>
    </row>
    <row r="13" spans="1:9" x14ac:dyDescent="0.2">
      <c r="B13" s="35"/>
      <c r="C13" s="37" t="s">
        <v>193</v>
      </c>
      <c r="D13" s="38">
        <f>IF(ISERROR(VLOOKUP('Выбор франшизы'!$D$7,Вспомогательный!$J$16:$L$18,3))=TRUE,0,VLOOKUP('Выбор франшизы'!$D$7,Вспомогательный!$J$16:$L$18,3))</f>
        <v>0</v>
      </c>
      <c r="E13" s="25" t="s">
        <v>188</v>
      </c>
      <c r="F13" s="37" t="s">
        <v>265</v>
      </c>
      <c r="G13" s="37"/>
      <c r="H13" s="34"/>
      <c r="I13" s="34"/>
    </row>
    <row r="14" spans="1:9" x14ac:dyDescent="0.2">
      <c r="B14" s="35"/>
      <c r="D14" s="38"/>
      <c r="E14" s="34"/>
      <c r="F14" s="37"/>
      <c r="G14" s="34"/>
      <c r="H14" s="34"/>
      <c r="I14" s="34"/>
    </row>
    <row r="15" spans="1:9" x14ac:dyDescent="0.2">
      <c r="B15" s="35"/>
      <c r="C15" s="37" t="s">
        <v>192</v>
      </c>
      <c r="D15" s="38">
        <f ca="1">Результат!C44*-1</f>
        <v>831740</v>
      </c>
      <c r="E15" s="25" t="s">
        <v>188</v>
      </c>
      <c r="F15" s="37" t="s">
        <v>267</v>
      </c>
      <c r="G15" s="37"/>
      <c r="H15" s="39"/>
      <c r="I15" s="34"/>
    </row>
    <row r="16" spans="1:9" x14ac:dyDescent="0.2">
      <c r="B16" s="35"/>
      <c r="C16" s="34"/>
      <c r="D16" s="38"/>
      <c r="E16" s="34"/>
      <c r="F16" s="37"/>
      <c r="G16" s="34"/>
      <c r="H16" s="34"/>
      <c r="I16" s="34"/>
    </row>
    <row r="17" spans="1:9" ht="15" x14ac:dyDescent="0.25">
      <c r="B17" s="35"/>
      <c r="C17" s="37" t="s">
        <v>194</v>
      </c>
      <c r="D17" s="40" t="str">
        <f ca="1">IF(Результат!$CR$45&lt;1,Вводные!BE8, Результат!$CR$45 &amp; IF(Результат!$CR$45&lt;5," месяца"," месяцев"))</f>
        <v>4 месяца</v>
      </c>
      <c r="E17" s="25" t="s">
        <v>188</v>
      </c>
      <c r="F17" s="33" t="s">
        <v>241</v>
      </c>
      <c r="G17" s="37"/>
      <c r="H17" s="34"/>
      <c r="I17" s="34"/>
    </row>
    <row r="18" spans="1:9" ht="13.5" thickBot="1" x14ac:dyDescent="0.25">
      <c r="B18" s="41"/>
      <c r="C18" s="42"/>
      <c r="D18" s="43"/>
      <c r="E18" s="34"/>
      <c r="F18" s="34"/>
      <c r="G18" s="34"/>
      <c r="H18" s="34"/>
      <c r="I18" s="34"/>
    </row>
    <row r="20" spans="1:9" s="189" customFormat="1" ht="30" customHeight="1" x14ac:dyDescent="0.2">
      <c r="A20" s="185" t="s">
        <v>210</v>
      </c>
      <c r="B20" s="186"/>
      <c r="C20" s="187"/>
      <c r="D20" s="187"/>
      <c r="E20" s="188"/>
      <c r="F20" s="188"/>
      <c r="G20" s="188"/>
      <c r="H20" s="188"/>
      <c r="I20" s="188"/>
    </row>
    <row r="21" spans="1:9" s="184" customFormat="1" ht="21" x14ac:dyDescent="0.25">
      <c r="A21" s="182" t="str">
        <f>HYPERLINK("https://roblab.ru/franchise/","Перейти на сайт ")</f>
        <v xml:space="preserve">Перейти на сайт </v>
      </c>
      <c r="B21" s="183"/>
      <c r="C21" s="183"/>
      <c r="D21" s="183"/>
      <c r="E21" s="183"/>
      <c r="F21" s="183"/>
      <c r="G21" s="183"/>
      <c r="H21" s="183"/>
      <c r="I21" s="183"/>
    </row>
    <row r="22" spans="1:9" s="23" customFormat="1" x14ac:dyDescent="0.2">
      <c r="G22" s="44"/>
      <c r="H22" s="45"/>
      <c r="I22" s="45"/>
    </row>
    <row r="23" spans="1:9" s="23" customFormat="1" x14ac:dyDescent="0.2">
      <c r="G23" s="44"/>
      <c r="H23" s="45"/>
      <c r="I23" s="45"/>
    </row>
    <row r="24" spans="1:9" x14ac:dyDescent="0.2">
      <c r="G24" s="46"/>
      <c r="H24" s="46"/>
      <c r="I24" s="46"/>
    </row>
    <row r="25" spans="1:9" x14ac:dyDescent="0.2">
      <c r="G25" s="46"/>
      <c r="H25" s="46"/>
      <c r="I25" s="46"/>
    </row>
    <row r="28" spans="1:9" s="23" customFormat="1" x14ac:dyDescent="0.2">
      <c r="G28" s="44"/>
      <c r="H28" s="45"/>
      <c r="I28" s="45"/>
    </row>
  </sheetData>
  <sheetProtection algorithmName="SHA-512" hashValue="9ZUlC6Wd5gc4lqd7T3Nxy5w6dsiVB0HAn0WKnnWBjJgNJhEW+I5kbt8Ylh5kQ1Y1/5+5zJEhjFljyhC2gbuRvA==" saltValue="vFhzeIQYwtu4Rq/XMJh68Q==" spinCount="100000" sheet="1" objects="1" scenarios="1" formatCells="0"/>
  <mergeCells count="1">
    <mergeCell ref="F7:F8"/>
  </mergeCells>
  <conditionalFormatting sqref="F7">
    <cfRule type="expression" dxfId="2" priority="6">
      <formula>$D$7=""</formula>
    </cfRule>
  </conditionalFormatting>
  <conditionalFormatting sqref="D9">
    <cfRule type="expression" dxfId="1" priority="1">
      <formula>$D$10="."</formula>
    </cfRule>
  </conditionalFormatting>
  <hyperlinks>
    <hyperlink ref="F17" location="Результат!A3" display="Щелкните для перехода на страницу просмотра финансового результата"/>
    <hyperlink ref="F9" location="Вводные!C8" display="Щелкните для перехода на страницу изменения данных по умолчанию"/>
  </hyperlink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errorTitle="Ошибка" error="Выберите значение из списка">
          <x14:formula1>
            <xm:f>Вспомогательный!$J$16:$J$19</xm:f>
          </x14:formula1>
          <xm:sqref>D7</xm:sqref>
        </x14:dataValidation>
        <x14:dataValidation type="list" allowBlank="1" showInputMessage="1" showErrorMessage="1" errorTitle="Ошибка" error="Выберите месяц начала работы из списка" prompt="Месяц начала работы. С этого месяца начинается покупка оборудования, со следующего (если это не летний месяц) начинается работа">
          <x14:formula1>
            <xm:f>Вспомогательный!$B$2:$B$13</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BM178"/>
  <sheetViews>
    <sheetView zoomScaleNormal="100" workbookViewId="0">
      <pane ySplit="8" topLeftCell="A9" activePane="bottomLeft" state="frozen"/>
      <selection pane="bottomLeft"/>
    </sheetView>
  </sheetViews>
  <sheetFormatPr defaultRowHeight="12.75" x14ac:dyDescent="0.2"/>
  <cols>
    <col min="1" max="1" width="2.7109375" style="6" customWidth="1"/>
    <col min="2" max="2" width="35.28515625" style="6" customWidth="1"/>
    <col min="3" max="4" width="15.140625" style="6" customWidth="1"/>
    <col min="5" max="5" width="4.5703125" style="6" customWidth="1"/>
    <col min="6" max="6" width="28.7109375" style="6" customWidth="1"/>
    <col min="7" max="7" width="13.140625" style="6" customWidth="1"/>
    <col min="8" max="8" width="11.42578125" style="6" customWidth="1"/>
    <col min="9" max="14" width="11.42578125" style="46" customWidth="1"/>
    <col min="15" max="47" width="12.85546875" style="46" customWidth="1"/>
    <col min="48" max="56" width="9.140625" style="6"/>
    <col min="57" max="57" width="5.85546875" style="6" customWidth="1"/>
    <col min="58" max="58" width="9.140625" style="6"/>
    <col min="59" max="59" width="12" style="6" bestFit="1" customWidth="1"/>
    <col min="60" max="60" width="9.140625" style="6"/>
    <col min="61" max="64" width="9.140625" style="22"/>
    <col min="65" max="16384" width="9.140625" style="6"/>
  </cols>
  <sheetData>
    <row r="1" spans="1:65" x14ac:dyDescent="0.2">
      <c r="T1" s="47"/>
    </row>
    <row r="2" spans="1:65" ht="36" customHeight="1" x14ac:dyDescent="0.35">
      <c r="A2" s="1" t="s">
        <v>207</v>
      </c>
      <c r="B2" s="2"/>
      <c r="C2" s="3"/>
      <c r="D2" s="4"/>
      <c r="E2" s="4"/>
      <c r="F2" s="4"/>
      <c r="G2" s="4"/>
      <c r="H2" s="4"/>
      <c r="I2" s="4"/>
      <c r="J2" s="4"/>
      <c r="K2" s="3"/>
      <c r="L2" s="3"/>
      <c r="M2" s="5"/>
      <c r="N2" s="5"/>
      <c r="O2" s="5"/>
      <c r="P2" s="5"/>
      <c r="Q2" s="2"/>
      <c r="R2" s="2"/>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BI2" s="6"/>
      <c r="BJ2" s="6"/>
      <c r="BK2" s="6"/>
      <c r="BL2" s="6"/>
    </row>
    <row r="3" spans="1:65" ht="7.5" customHeight="1" x14ac:dyDescent="0.2">
      <c r="G3" s="48" t="str">
        <f>IF(AND(D12&lt;=0.4,D12&gt;3),"Внимание, ошибка! Значение не может быть меньше 0.4 и больше 3","") &amp; IF(ISNUMBER(D12)=FALSE,"Внимание, ошибка! В поле коэффициент должно быть число!","")</f>
        <v/>
      </c>
      <c r="T3" s="47"/>
      <c r="BA3" s="207"/>
      <c r="BB3" s="207"/>
      <c r="BC3" s="207"/>
      <c r="BD3" s="207"/>
      <c r="BE3" s="207"/>
      <c r="BF3" s="207"/>
      <c r="BG3" s="207"/>
      <c r="BH3" s="207"/>
      <c r="BI3" s="207"/>
      <c r="BJ3" s="207"/>
      <c r="BK3" s="207"/>
      <c r="BL3" s="207"/>
      <c r="BM3" s="207"/>
    </row>
    <row r="4" spans="1:65" x14ac:dyDescent="0.2">
      <c r="A4" s="49" t="s">
        <v>188</v>
      </c>
      <c r="B4" s="50" t="s">
        <v>279</v>
      </c>
      <c r="C4" s="50"/>
      <c r="D4" s="50"/>
      <c r="F4" s="50"/>
      <c r="T4" s="47"/>
      <c r="BA4" s="207"/>
      <c r="BB4" s="207"/>
      <c r="BC4" s="207"/>
      <c r="BD4" s="207"/>
      <c r="BE4" s="207" t="s">
        <v>72</v>
      </c>
      <c r="BF4" s="207" t="s">
        <v>48</v>
      </c>
      <c r="BG4" s="207" t="s">
        <v>34</v>
      </c>
      <c r="BH4" s="207"/>
      <c r="BI4" s="207"/>
      <c r="BJ4" s="207"/>
      <c r="BK4" s="207"/>
      <c r="BL4" s="207"/>
      <c r="BM4" s="207"/>
    </row>
    <row r="5" spans="1:65" ht="7.5" customHeight="1" x14ac:dyDescent="0.2">
      <c r="B5" s="50"/>
      <c r="C5" s="50"/>
      <c r="D5" s="50"/>
      <c r="F5" s="50"/>
      <c r="T5" s="47"/>
      <c r="BA5" s="207"/>
      <c r="BB5" s="207"/>
      <c r="BC5" s="207"/>
      <c r="BD5" s="207"/>
      <c r="BE5" s="207"/>
      <c r="BF5" s="207"/>
      <c r="BG5" s="207"/>
      <c r="BH5" s="207"/>
      <c r="BI5" s="207"/>
      <c r="BJ5" s="207"/>
      <c r="BK5" s="207"/>
      <c r="BL5" s="207"/>
      <c r="BM5" s="207"/>
    </row>
    <row r="6" spans="1:65" x14ac:dyDescent="0.2">
      <c r="B6" s="50"/>
      <c r="C6" s="49" t="s">
        <v>108</v>
      </c>
      <c r="D6" s="49" t="s">
        <v>271</v>
      </c>
      <c r="E6" s="25"/>
      <c r="F6" s="52" t="s">
        <v>49</v>
      </c>
      <c r="G6" s="46"/>
      <c r="H6" s="46"/>
      <c r="K6" s="6"/>
      <c r="L6" s="6"/>
      <c r="M6" s="6"/>
      <c r="T6" s="47"/>
      <c r="BA6" s="207"/>
      <c r="BB6" s="207"/>
      <c r="BC6" s="207"/>
      <c r="BD6" s="207"/>
      <c r="BE6" s="207"/>
      <c r="BF6" s="207"/>
      <c r="BG6" s="207"/>
      <c r="BH6" s="207"/>
      <c r="BI6" s="207"/>
      <c r="BJ6" s="207"/>
      <c r="BK6" s="207"/>
      <c r="BL6" s="207"/>
      <c r="BM6" s="207"/>
    </row>
    <row r="7" spans="1:65" ht="6.75" customHeight="1" x14ac:dyDescent="0.2">
      <c r="B7" s="50"/>
      <c r="C7" s="53"/>
      <c r="D7" s="53"/>
      <c r="E7" s="25"/>
      <c r="G7" s="46"/>
      <c r="H7" s="46"/>
      <c r="K7" s="6"/>
      <c r="L7" s="6"/>
      <c r="M7" s="6"/>
      <c r="T7" s="47"/>
      <c r="BA7" s="207"/>
      <c r="BB7" s="207"/>
      <c r="BC7" s="207"/>
      <c r="BD7" s="207"/>
      <c r="BE7" s="207">
        <v>2</v>
      </c>
      <c r="BF7" s="207">
        <f>IF(ISERROR(VLOOKUP('Выбор франшизы'!D6,Вспомогательный!B1:C14,2,0)=TRUE),0,VLOOKUP('Выбор франшизы'!D6,Вспомогательный!B1:C14,2,0))</f>
        <v>0</v>
      </c>
      <c r="BG7" s="207">
        <f>IF(AND(BF7&gt;0,BF7&lt;13),BF7,IF(AND(BE7&lt;&gt;"",BF7&lt;&gt;0),VLOOKUP(VLOOKUP(BG8,Вспомогательный!E2:AH7,BE7,0),Вспомогательный!B1:C14,2,0),8))</f>
        <v>8</v>
      </c>
      <c r="BH7" s="208" t="str">
        <f>VLOOKUP(Вводные!BG7,Вспомогательный!$A$2:$B$13,2,0)</f>
        <v>Август</v>
      </c>
      <c r="BI7" s="207"/>
      <c r="BJ7" s="207"/>
      <c r="BK7" s="207"/>
      <c r="BL7" s="207"/>
      <c r="BM7" s="207"/>
    </row>
    <row r="8" spans="1:65" x14ac:dyDescent="0.2">
      <c r="B8" s="54" t="s">
        <v>191</v>
      </c>
      <c r="C8" s="71"/>
      <c r="D8" s="55" t="str">
        <f>BG8</f>
        <v>Максимальный</v>
      </c>
      <c r="E8" s="25" t="s">
        <v>188</v>
      </c>
      <c r="F8" s="6" t="str">
        <f>IF(BG8=Вспомогательный!$I$17,"Внимание! Данные по умолчанию не проставлены, укажите свои значения для каждого параметра","")</f>
        <v/>
      </c>
      <c r="G8" s="56"/>
      <c r="K8" s="6"/>
      <c r="L8" s="6"/>
      <c r="M8" s="6"/>
      <c r="T8" s="47"/>
      <c r="BA8" s="207"/>
      <c r="BB8" s="207"/>
      <c r="BC8" s="207"/>
      <c r="BD8" s="207"/>
      <c r="BE8" s="207" t="s">
        <v>45</v>
      </c>
      <c r="BF8" s="207" t="s">
        <v>268</v>
      </c>
      <c r="BG8" s="209" t="str">
        <f>IF($C$8="",Вспомогательный!$E$6,$C$8)</f>
        <v>Максимальный</v>
      </c>
      <c r="BH8" s="207"/>
      <c r="BI8" s="207"/>
      <c r="BJ8" s="207"/>
      <c r="BK8" s="207"/>
      <c r="BL8" s="207"/>
      <c r="BM8" s="207"/>
    </row>
    <row r="9" spans="1:65" x14ac:dyDescent="0.2">
      <c r="B9" s="50"/>
      <c r="C9" s="72"/>
      <c r="E9" s="25"/>
      <c r="G9" s="46"/>
      <c r="H9" s="46"/>
      <c r="K9" s="6"/>
      <c r="L9" s="6"/>
      <c r="M9" s="6"/>
      <c r="T9" s="47"/>
      <c r="BA9" s="207"/>
      <c r="BB9" s="207"/>
      <c r="BC9" s="207"/>
      <c r="BD9" s="207"/>
      <c r="BE9" s="207"/>
      <c r="BF9" s="207"/>
      <c r="BG9" s="207"/>
      <c r="BH9" s="207"/>
      <c r="BI9" s="207"/>
      <c r="BJ9" s="207"/>
      <c r="BK9" s="207"/>
      <c r="BL9" s="207"/>
      <c r="BM9" s="207"/>
    </row>
    <row r="10" spans="1:65" x14ac:dyDescent="0.2">
      <c r="B10" s="57" t="s">
        <v>196</v>
      </c>
      <c r="C10" s="72"/>
      <c r="E10" s="25"/>
      <c r="G10" s="46"/>
      <c r="H10" s="46"/>
      <c r="K10" s="6"/>
      <c r="L10" s="6"/>
      <c r="M10" s="6"/>
      <c r="T10" s="47"/>
      <c r="BA10" s="207"/>
      <c r="BB10" s="207"/>
      <c r="BC10" s="207"/>
      <c r="BD10" s="207"/>
      <c r="BE10" s="207"/>
      <c r="BF10" s="207"/>
      <c r="BG10" s="207"/>
      <c r="BH10" s="207"/>
      <c r="BI10" s="207"/>
      <c r="BJ10" s="207"/>
      <c r="BK10" s="207"/>
      <c r="BL10" s="207"/>
      <c r="BM10" s="207"/>
    </row>
    <row r="11" spans="1:65" x14ac:dyDescent="0.2">
      <c r="C11" s="72"/>
      <c r="E11" s="25"/>
      <c r="G11" s="46"/>
      <c r="H11" s="46"/>
      <c r="K11" s="6"/>
      <c r="L11" s="6"/>
      <c r="M11" s="6"/>
      <c r="T11" s="47"/>
      <c r="BA11" s="207"/>
      <c r="BB11" s="207"/>
      <c r="BC11" s="207"/>
      <c r="BD11" s="207"/>
      <c r="BE11" s="207"/>
      <c r="BF11" s="207"/>
      <c r="BG11" s="207"/>
      <c r="BH11" s="207"/>
      <c r="BI11" s="207"/>
      <c r="BJ11" s="207"/>
      <c r="BK11" s="207"/>
      <c r="BL11" s="207"/>
      <c r="BM11" s="207"/>
    </row>
    <row r="12" spans="1:65" x14ac:dyDescent="0.2">
      <c r="B12" s="6" t="s">
        <v>154</v>
      </c>
      <c r="C12" s="73"/>
      <c r="D12" s="55">
        <v>1</v>
      </c>
      <c r="E12" s="25" t="s">
        <v>188</v>
      </c>
      <c r="F12" s="48" t="str">
        <f>IF(AND(C12&lt;&gt;"",C12&lt;&gt;BG12),"Ошибка! Должно быть числовое значение от 0,4 до 3","")</f>
        <v/>
      </c>
      <c r="G12" s="46"/>
      <c r="H12" s="46"/>
      <c r="K12" s="6"/>
      <c r="L12" s="6"/>
      <c r="M12" s="6"/>
      <c r="T12" s="47"/>
      <c r="BA12" s="207"/>
      <c r="BB12" s="207"/>
      <c r="BC12" s="207"/>
      <c r="BD12" s="207"/>
      <c r="BE12" s="207"/>
      <c r="BF12" s="207"/>
      <c r="BG12" s="207">
        <f>IF(ISNUMBER(C12),IF(AND(C12&gt;=0.4,C12&lt;=3),C12,1),D12)</f>
        <v>1</v>
      </c>
      <c r="BH12" s="207"/>
      <c r="BI12" s="207"/>
      <c r="BJ12" s="207"/>
      <c r="BK12" s="207"/>
      <c r="BL12" s="207"/>
      <c r="BM12" s="207"/>
    </row>
    <row r="13" spans="1:65" x14ac:dyDescent="0.2">
      <c r="B13" s="58" t="s">
        <v>205</v>
      </c>
      <c r="C13" s="73"/>
      <c r="D13" s="55">
        <f>IF(ISERROR(VLOOKUP($BG$8,Вспомогательный!$E$2:$AH$7,$BE13,FALSE))=TRUE,"",IF(VLOOKUP($BG$8,Вспомогательный!$E$2:$AH$7,$BE13,FALSE)=0,"",VLOOKUP($BG$8,Вспомогательный!$E$2:$AH$7,$BE13,FALSE)))</f>
        <v>12</v>
      </c>
      <c r="E13" s="25" t="s">
        <v>188</v>
      </c>
      <c r="F13" s="48" t="str">
        <f>IF(AND(C13&lt;4,BG13&lt;1),"Ошибка, слишком мало учеников, рекомендуем посадку не менее 4-х человек в классе",IF(C13&gt;25,"Ошибка! Проверьте количество учеников в 1 классе! Рекомендуем до 10",IF(C13&gt;10,"Много учеников, может понадобится помощник преподавателя, учтите, когда будете указывать заработную плату ","")))</f>
        <v/>
      </c>
      <c r="G13" s="46"/>
      <c r="H13" s="46"/>
      <c r="K13" s="6"/>
      <c r="L13" s="6"/>
      <c r="M13" s="6"/>
      <c r="T13" s="47"/>
      <c r="BA13" s="207"/>
      <c r="BB13" s="207"/>
      <c r="BC13" s="207"/>
      <c r="BD13" s="207"/>
      <c r="BE13" s="207">
        <v>5</v>
      </c>
      <c r="BF13" s="207"/>
      <c r="BG13" s="207">
        <f>IF(ISNUMBER(IF(ISNUMBER(C13),IF(AND(C13&gt;=0,C13&lt;30),C13,D13),D13))=TRUE,IF(ISNUMBER(C13),IF(AND(C13&gt;=0,C13&lt;30),C13,D13),D13),0)</f>
        <v>12</v>
      </c>
      <c r="BH13" s="207"/>
      <c r="BI13" s="207"/>
      <c r="BJ13" s="207"/>
      <c r="BK13" s="207"/>
      <c r="BL13" s="207"/>
      <c r="BM13" s="207"/>
    </row>
    <row r="14" spans="1:65" x14ac:dyDescent="0.2">
      <c r="B14" s="6" t="s">
        <v>112</v>
      </c>
      <c r="C14" s="73"/>
      <c r="D14" s="55">
        <f>IF(ISERROR(VLOOKUP($BG$8,Вспомогательный!$E$2:$AH$7,$BE14,FALSE))=TRUE,"",IF(VLOOKUP($BG$8,Вспомогательный!$E$2:$AH$7,$BE14,FALSE)=0,"",VLOOKUP($BG$8,Вспомогательный!$E$2:$AH$7,$BE14,FALSE)))</f>
        <v>20</v>
      </c>
      <c r="E14" s="25" t="s">
        <v>188</v>
      </c>
      <c r="F14" s="48" t="str">
        <f>IF(BG14&lt;4,"Ошибка, проверьте количество групп в неделю, рекомендуем указать не менее 10",IF(BG14&gt;20,"Проверьте количество групп, в неделю 1 помещение может отработать 20 групп, если все верно - проигнорируйте это предупрежение",""))</f>
        <v/>
      </c>
      <c r="G14" s="46"/>
      <c r="H14" s="46"/>
      <c r="K14" s="6"/>
      <c r="L14" s="6"/>
      <c r="M14" s="6"/>
      <c r="T14" s="47"/>
      <c r="BA14" s="207"/>
      <c r="BB14" s="207"/>
      <c r="BC14" s="207"/>
      <c r="BD14" s="207"/>
      <c r="BE14" s="207">
        <v>6</v>
      </c>
      <c r="BF14" s="207"/>
      <c r="BG14" s="207">
        <f>IF(ISNUMBER(C14),IF(AND(C14&gt;=0,C14&lt;90),C14,D14),D14)</f>
        <v>20</v>
      </c>
      <c r="BH14" s="207">
        <f>ROUND(BG14*4.285,0)</f>
        <v>86</v>
      </c>
      <c r="BI14" s="207"/>
      <c r="BJ14" s="207"/>
      <c r="BK14" s="207"/>
      <c r="BL14" s="207"/>
      <c r="BM14" s="207"/>
    </row>
    <row r="15" spans="1:65" x14ac:dyDescent="0.2">
      <c r="B15" s="6" t="s">
        <v>88</v>
      </c>
      <c r="C15" s="74"/>
      <c r="D15" s="55">
        <f>IF(ISERROR(VLOOKUP($BG$8,Вспомогательный!$E$2:$AH$7,$BE15,FALSE))=TRUE,"",IF(VLOOKUP($BG$8,Вспомогательный!$E$2:$AH$7,$BE15,FALSE)=0,"",VLOOKUP($BG$8,Вспомогательный!$E$2:$AH$7,$BE15,FALSE)))</f>
        <v>5000</v>
      </c>
      <c r="E15" s="25" t="s">
        <v>188</v>
      </c>
      <c r="F15" s="48" t="str">
        <f>IF(AND(C15&lt;&gt;"",C15&lt;200),"Ошибка, сумма за абонемент слишком маленькая",IF(AND(C15&lt;&gt;"",C15&gt;9000),"Ошибка, сумма за абонемент слишком большая",IF(BG15&lt;10,"Введите стоимость абонемента за 4 занятия","")))</f>
        <v/>
      </c>
      <c r="G15" s="46"/>
      <c r="H15" s="46"/>
      <c r="K15" s="6"/>
      <c r="L15" s="6"/>
      <c r="M15" s="6"/>
      <c r="T15" s="47"/>
      <c r="BA15" s="207"/>
      <c r="BB15" s="207"/>
      <c r="BC15" s="207"/>
      <c r="BD15" s="207"/>
      <c r="BE15" s="207">
        <v>4</v>
      </c>
      <c r="BF15" s="207"/>
      <c r="BG15" s="207">
        <f>IF(IF(ISNUMBER(C15),IF(AND(C15&gt;=200,C15&lt;10000),C15,D15),D15)="",0,IF(ISNUMBER(C15),IF(AND(C15&gt;=200,C15&lt;10000),C15,D15),D15)*1.07125)</f>
        <v>5356.25</v>
      </c>
      <c r="BH15" s="207"/>
      <c r="BI15" s="207"/>
      <c r="BJ15" s="207"/>
      <c r="BK15" s="207"/>
      <c r="BL15" s="207"/>
      <c r="BM15" s="207"/>
    </row>
    <row r="16" spans="1:65" x14ac:dyDescent="0.2">
      <c r="B16" s="58" t="s">
        <v>198</v>
      </c>
      <c r="C16" s="75"/>
      <c r="D16" s="59" t="str">
        <f>IF(ISERROR(VLOOKUP($BG$8,Вспомогательный!$E$2:$AH$7,$BE16,FALSE))=TRUE,"",IF(VLOOKUP($BG$8,Вспомогательный!$E$2:$AH$7,$BE16,FALSE)=0,"",VLOOKUP($BG$8,Вспомогательный!$E$2:$AH$7,$BE16,FALSE)))</f>
        <v>Да</v>
      </c>
      <c r="E16" s="25"/>
      <c r="F16" s="60" t="s">
        <v>8</v>
      </c>
      <c r="H16" s="46"/>
      <c r="K16" s="6"/>
      <c r="L16" s="6"/>
      <c r="M16" s="6"/>
      <c r="BA16" s="207"/>
      <c r="BB16" s="207"/>
      <c r="BC16" s="207"/>
      <c r="BD16" s="207"/>
      <c r="BE16" s="207">
        <v>17</v>
      </c>
      <c r="BF16" s="207" t="e">
        <f>VLOOKUP(C16,Вспомогательный!$I$16:$I$17,1,0)</f>
        <v>#N/A</v>
      </c>
      <c r="BG16" s="207" t="str">
        <f>IF(ISERROR(BF16)=FALSE,BF16,D16)</f>
        <v>Да</v>
      </c>
      <c r="BH16" s="207"/>
      <c r="BI16" s="207"/>
      <c r="BJ16" s="207"/>
      <c r="BK16" s="207"/>
      <c r="BL16" s="207"/>
      <c r="BM16" s="207"/>
    </row>
    <row r="17" spans="2:65" x14ac:dyDescent="0.2">
      <c r="B17" s="58" t="s">
        <v>199</v>
      </c>
      <c r="C17" s="75"/>
      <c r="D17" s="59" t="str">
        <f>IF(ISERROR(VLOOKUP($BG$8,Вспомогательный!$E$2:$AH$7,$BE17,FALSE))=TRUE,"",IF(VLOOKUP($BG$8,Вспомогательный!$E$2:$AH$7,$BE17,FALSE)=0,"",VLOOKUP($BG$8,Вспомогательный!$E$2:$AH$7,$BE17,FALSE)))</f>
        <v>Да</v>
      </c>
      <c r="E17" s="25"/>
      <c r="F17" s="60" t="s">
        <v>8</v>
      </c>
      <c r="H17" s="46"/>
      <c r="K17" s="6"/>
      <c r="L17" s="6"/>
      <c r="M17" s="6"/>
      <c r="BA17" s="207"/>
      <c r="BB17" s="207"/>
      <c r="BC17" s="207"/>
      <c r="BD17" s="207"/>
      <c r="BE17" s="207">
        <v>18</v>
      </c>
      <c r="BF17" s="207" t="e">
        <f>VLOOKUP(C17,Вспомогательный!$I$16:$I$17,1,0)</f>
        <v>#N/A</v>
      </c>
      <c r="BG17" s="207" t="str">
        <f>IF(ISERROR(BF17)=FALSE,BF17,D17)</f>
        <v>Да</v>
      </c>
      <c r="BH17" s="207"/>
      <c r="BI17" s="207"/>
      <c r="BJ17" s="207"/>
      <c r="BK17" s="207"/>
      <c r="BL17" s="207"/>
      <c r="BM17" s="207"/>
    </row>
    <row r="18" spans="2:65" x14ac:dyDescent="0.2">
      <c r="C18" s="72"/>
      <c r="E18" s="25"/>
      <c r="G18" s="46"/>
      <c r="H18" s="46"/>
      <c r="K18" s="6"/>
      <c r="L18" s="6"/>
      <c r="M18" s="6"/>
      <c r="BA18" s="207"/>
      <c r="BB18" s="207"/>
      <c r="BC18" s="207"/>
      <c r="BD18" s="207"/>
      <c r="BE18" s="207"/>
      <c r="BF18" s="207"/>
      <c r="BG18" s="207"/>
      <c r="BH18" s="207"/>
      <c r="BI18" s="207"/>
      <c r="BJ18" s="207"/>
      <c r="BK18" s="207"/>
      <c r="BL18" s="207"/>
      <c r="BM18" s="207"/>
    </row>
    <row r="19" spans="2:65" x14ac:dyDescent="0.2">
      <c r="B19" s="57" t="s">
        <v>197</v>
      </c>
      <c r="C19" s="72"/>
      <c r="E19" s="25"/>
      <c r="G19" s="46"/>
      <c r="H19" s="46"/>
      <c r="K19" s="6"/>
      <c r="L19" s="6"/>
      <c r="M19" s="6"/>
      <c r="T19" s="47"/>
      <c r="BA19" s="207"/>
      <c r="BB19" s="207"/>
      <c r="BC19" s="207"/>
      <c r="BD19" s="207"/>
      <c r="BE19" s="207"/>
      <c r="BF19" s="207"/>
      <c r="BG19" s="207"/>
      <c r="BH19" s="207"/>
      <c r="BI19" s="207"/>
      <c r="BJ19" s="207"/>
      <c r="BK19" s="207"/>
      <c r="BL19" s="207"/>
      <c r="BM19" s="207"/>
    </row>
    <row r="20" spans="2:65" x14ac:dyDescent="0.2">
      <c r="C20" s="72"/>
      <c r="E20" s="25"/>
      <c r="G20" s="46"/>
      <c r="H20" s="46"/>
      <c r="K20" s="6"/>
      <c r="L20" s="6"/>
      <c r="M20" s="6"/>
      <c r="T20" s="47"/>
      <c r="BA20" s="207"/>
      <c r="BB20" s="207"/>
      <c r="BC20" s="207"/>
      <c r="BD20" s="207"/>
      <c r="BE20" s="207"/>
      <c r="BF20" s="207"/>
      <c r="BG20" s="207"/>
      <c r="BH20" s="207"/>
      <c r="BI20" s="207"/>
      <c r="BJ20" s="207"/>
      <c r="BK20" s="207"/>
      <c r="BL20" s="207"/>
      <c r="BM20" s="207"/>
    </row>
    <row r="21" spans="2:65" x14ac:dyDescent="0.2">
      <c r="B21" s="58" t="s">
        <v>24</v>
      </c>
      <c r="C21" s="76"/>
      <c r="D21" s="61" t="str">
        <f>IF(ISERROR(VLOOKUP($BG$8,Вспомогательный!$E$2:$AH$7,$BE21,FALSE))=TRUE,"",IF(VLOOKUP($BG$8,Вспомогательный!$E$2:$AH$7,$BE21,FALSE)=0,"",VLOOKUP($BG$8,Вспомогательный!$E$2:$AH$7,$BE21,FALSE)))</f>
        <v>Сразу</v>
      </c>
      <c r="E21" s="25" t="s">
        <v>188</v>
      </c>
      <c r="F21" s="48" t="str">
        <f>IF(AND(C21="",D21=""),"Введите значение в столбец B или выберите значение по умолчанию выше","")</f>
        <v/>
      </c>
      <c r="G21" s="46"/>
      <c r="H21" s="46"/>
      <c r="K21" s="6"/>
      <c r="L21" s="6"/>
      <c r="M21" s="6"/>
      <c r="T21" s="47"/>
      <c r="BA21" s="207"/>
      <c r="BB21" s="207"/>
      <c r="BC21" s="207"/>
      <c r="BD21" s="207"/>
      <c r="BE21" s="207">
        <v>3</v>
      </c>
      <c r="BF21" s="207" t="e">
        <f>VLOOKUP(C21,Вспомогательный!A23:A25,1,0)</f>
        <v>#N/A</v>
      </c>
      <c r="BG21" s="207" t="str">
        <f>IF(ISERROR(BF21)=FALSE,BF21,D21)</f>
        <v>Сразу</v>
      </c>
      <c r="BH21" s="207"/>
      <c r="BI21" s="207"/>
      <c r="BJ21" s="207"/>
      <c r="BK21" s="207"/>
      <c r="BL21" s="207"/>
      <c r="BM21" s="207"/>
    </row>
    <row r="22" spans="2:65" x14ac:dyDescent="0.2">
      <c r="C22" s="72"/>
      <c r="E22" s="25"/>
      <c r="I22" s="6"/>
      <c r="J22" s="6"/>
      <c r="K22" s="6"/>
      <c r="L22" s="6"/>
      <c r="M22" s="6"/>
      <c r="T22" s="47"/>
      <c r="BA22" s="207"/>
      <c r="BB22" s="207"/>
      <c r="BC22" s="207"/>
      <c r="BD22" s="207"/>
      <c r="BE22" s="207"/>
      <c r="BF22" s="207"/>
      <c r="BG22" s="207"/>
      <c r="BH22" s="207"/>
      <c r="BI22" s="207"/>
      <c r="BJ22" s="207"/>
      <c r="BK22" s="207"/>
      <c r="BL22" s="207"/>
      <c r="BM22" s="207"/>
    </row>
    <row r="23" spans="2:65" x14ac:dyDescent="0.2">
      <c r="B23" s="57" t="s">
        <v>200</v>
      </c>
      <c r="C23" s="72"/>
      <c r="E23" s="25" t="s">
        <v>188</v>
      </c>
      <c r="F23" s="53" t="s">
        <v>254</v>
      </c>
      <c r="H23" s="46"/>
      <c r="K23" s="6"/>
      <c r="L23" s="6"/>
      <c r="M23" s="6"/>
      <c r="T23" s="47"/>
      <c r="BA23" s="207"/>
      <c r="BB23" s="207"/>
      <c r="BC23" s="207"/>
      <c r="BD23" s="207"/>
      <c r="BE23" s="207"/>
      <c r="BF23" s="207"/>
      <c r="BG23" s="207"/>
      <c r="BH23" s="207"/>
      <c r="BI23" s="207"/>
      <c r="BJ23" s="207"/>
      <c r="BK23" s="207"/>
      <c r="BL23" s="207"/>
      <c r="BM23" s="207"/>
    </row>
    <row r="24" spans="2:65" x14ac:dyDescent="0.2">
      <c r="C24" s="77"/>
      <c r="D24" s="62"/>
      <c r="E24" s="25"/>
      <c r="F24" s="48"/>
      <c r="G24" s="46"/>
      <c r="H24" s="46"/>
      <c r="K24" s="6"/>
      <c r="L24" s="6"/>
      <c r="M24" s="6"/>
      <c r="T24" s="47"/>
      <c r="BA24" s="207"/>
      <c r="BB24" s="207"/>
      <c r="BC24" s="207"/>
      <c r="BD24" s="207"/>
      <c r="BE24" s="207"/>
      <c r="BF24" s="207"/>
      <c r="BG24" s="207"/>
      <c r="BH24" s="207"/>
      <c r="BI24" s="207"/>
      <c r="BJ24" s="207"/>
      <c r="BK24" s="207"/>
      <c r="BL24" s="207"/>
      <c r="BM24" s="207"/>
    </row>
    <row r="25" spans="2:65" x14ac:dyDescent="0.2">
      <c r="B25" s="6" t="s">
        <v>174</v>
      </c>
      <c r="C25" s="74"/>
      <c r="D25" s="63">
        <f>IF(ISERROR(VLOOKUP($BG$8,Вспомогательный!$E$2:$AH$7,$BE25,FALSE))=TRUE,"",IF(VLOOKUP($BG$8,Вспомогательный!$E$2:$AH$7,$BE25,FALSE)=0,"",VLOOKUP($BG$8,Вспомогательный!$E$2:$AH$7,$BE25,FALSE)))</f>
        <v>50000</v>
      </c>
      <c r="E25" s="25" t="s">
        <v>188</v>
      </c>
      <c r="F25" s="48" t="str">
        <f>IF(C25&gt;200000,"Проверьте сумму арендной платы, сейчас слишком большое значение",IF(BG25&lt;1000,"Проверьте сумму арендной платы (слишком низкая) или проигнорируйте эту ошибку",""))</f>
        <v/>
      </c>
      <c r="G25" s="46"/>
      <c r="H25" s="46"/>
      <c r="K25" s="6"/>
      <c r="L25" s="6"/>
      <c r="M25" s="6"/>
      <c r="T25" s="47"/>
      <c r="BA25" s="207"/>
      <c r="BB25" s="207"/>
      <c r="BC25" s="207"/>
      <c r="BD25" s="207"/>
      <c r="BE25" s="207">
        <v>7</v>
      </c>
      <c r="BF25" s="207"/>
      <c r="BG25" s="207">
        <f>IF(ISNUMBER(C25),IF(AND(C25&gt;=0,C25&lt;100000),C25,D25),D25)</f>
        <v>50000</v>
      </c>
      <c r="BH25" s="207"/>
      <c r="BI25" s="207"/>
      <c r="BJ25" s="207"/>
      <c r="BK25" s="207"/>
      <c r="BL25" s="207"/>
      <c r="BM25" s="207"/>
    </row>
    <row r="26" spans="2:65" x14ac:dyDescent="0.2">
      <c r="B26" s="6" t="s">
        <v>102</v>
      </c>
      <c r="C26" s="74"/>
      <c r="D26" s="63">
        <f>IF(ISERROR(VLOOKUP($BG$8,Вспомогательный!$E$2:$AH$7,$BE26,FALSE))=TRUE,"",IF(VLOOKUP($BG$8,Вспомогательный!$E$2:$AH$7,$BE26,FALSE)=0,"",VLOOKUP($BG$8,Вспомогательный!$E$2:$AH$7,$BE26,FALSE)))</f>
        <v>100</v>
      </c>
      <c r="E26" s="25" t="s">
        <v>188</v>
      </c>
      <c r="F26" s="48" t="str">
        <f>IF(AND(ROUND(BG26,3)&gt;0,BG26&lt;&gt;0,BG26&lt;&gt;"",C26&lt;=2,C26&lt;&gt;""),"Проверьте сумму обеспечительного платежа. Если указываете % - указывайте без процентов целым числом. Например 50 - это 50 процентов",IF(BG26&gt;200000,"Проверьте сумму обеспечительного взноса, сейчас слишком большое значение",""))</f>
        <v/>
      </c>
      <c r="G26" s="46"/>
      <c r="H26" s="46"/>
      <c r="K26" s="6"/>
      <c r="L26" s="6"/>
      <c r="M26" s="6"/>
      <c r="T26" s="47"/>
      <c r="BA26" s="207"/>
      <c r="BB26" s="207"/>
      <c r="BC26" s="207"/>
      <c r="BD26" s="207"/>
      <c r="BE26" s="207">
        <v>14</v>
      </c>
      <c r="BF26" s="207"/>
      <c r="BG26" s="207">
        <f>IF(ISERROR(IF(ISNUMBER(C26),IF(AND(C26&gt;=0,C26&lt;200),C26*BG25/100,C26),D26*BG25/100))=FALSE,IF(ISNUMBER(C26),IF(AND(C26&gt;=0,C26&lt;200),C26*BG25/100,C26),D26*BG25/100),0)</f>
        <v>50000</v>
      </c>
      <c r="BH26" s="207"/>
      <c r="BI26" s="207"/>
      <c r="BJ26" s="207"/>
      <c r="BK26" s="207"/>
      <c r="BL26" s="207"/>
      <c r="BM26" s="207"/>
    </row>
    <row r="27" spans="2:65" x14ac:dyDescent="0.2">
      <c r="B27" s="6" t="s">
        <v>134</v>
      </c>
      <c r="C27" s="74"/>
      <c r="D27" s="63">
        <f>IF(ISERROR(VLOOKUP($BG$8,Вспомогательный!$E$2:$AH$7,$BE27,FALSE))=TRUE,"",IF(VLOOKUP($BG$8,Вспомогательный!$E$2:$AH$7,$BE27,FALSE)=0,"",VLOOKUP($BG$8,Вспомогательный!$E$2:$AH$7,$BE27,FALSE)))</f>
        <v>1000</v>
      </c>
      <c r="E27" s="25" t="s">
        <v>188</v>
      </c>
      <c r="F27" s="48" t="str">
        <f>IF(AND(C27&lt;&gt;BG27,C27&lt;&gt;""),"Ошибка! Проверьте сумму за банковское обслуживание! ","") &amp; IF(C27&lt;0,"Должна быть положительная сумма",IF(C27&gt;10000,"Большое значение",""))</f>
        <v/>
      </c>
      <c r="G27" s="46"/>
      <c r="H27" s="46"/>
      <c r="K27" s="6"/>
      <c r="L27" s="6"/>
      <c r="M27" s="6"/>
      <c r="T27" s="47"/>
      <c r="BA27" s="207"/>
      <c r="BB27" s="207"/>
      <c r="BC27" s="207"/>
      <c r="BD27" s="207"/>
      <c r="BE27" s="207">
        <v>19</v>
      </c>
      <c r="BF27" s="207"/>
      <c r="BG27" s="207">
        <f>IF(ISNUMBER(C27),IF(AND(C27&gt;=0,C27&lt;5),C27,D27),D27)</f>
        <v>1000</v>
      </c>
      <c r="BH27" s="207"/>
      <c r="BI27" s="207"/>
      <c r="BJ27" s="207"/>
      <c r="BK27" s="207"/>
      <c r="BL27" s="207"/>
      <c r="BM27" s="207"/>
    </row>
    <row r="28" spans="2:65" x14ac:dyDescent="0.2">
      <c r="B28" s="6" t="s">
        <v>135</v>
      </c>
      <c r="C28" s="74"/>
      <c r="D28" s="64">
        <f>IF(ISERROR(VLOOKUP($BG$8,Вспомогательный!$E$2:$AH$7,$BE28,FALSE))=TRUE,"",IF(VLOOKUP($BG$8,Вспомогательный!$E$2:$AH$7,$BE28,FALSE)=0,"",VLOOKUP($BG$8,Вспомогательный!$E$2:$AH$7,$BE28,FALSE)))</f>
        <v>0.95</v>
      </c>
      <c r="E28" s="25" t="s">
        <v>188</v>
      </c>
      <c r="F28" s="48" t="str">
        <f>IF(C28&lt;0,"Проверьте % комиссии за прием платежей",IF(C28&gt;=5,"Проверьте % комиссии - большое значение",""))</f>
        <v/>
      </c>
      <c r="G28" s="46"/>
      <c r="H28" s="46"/>
      <c r="K28" s="6"/>
      <c r="L28" s="6"/>
      <c r="M28" s="6"/>
      <c r="T28" s="47"/>
      <c r="BA28" s="207"/>
      <c r="BB28" s="207"/>
      <c r="BC28" s="207"/>
      <c r="BD28" s="207"/>
      <c r="BE28" s="207">
        <v>20</v>
      </c>
      <c r="BF28" s="207"/>
      <c r="BG28" s="207">
        <f>IF(ISNUMBER(C28),IF(AND(C28&gt;=0,C28&lt;5),C28,D28),D28)</f>
        <v>0.95</v>
      </c>
      <c r="BH28" s="207"/>
      <c r="BI28" s="207"/>
      <c r="BJ28" s="207"/>
      <c r="BK28" s="207"/>
      <c r="BL28" s="207"/>
      <c r="BM28" s="207"/>
    </row>
    <row r="29" spans="2:65" x14ac:dyDescent="0.2">
      <c r="B29" s="6" t="s">
        <v>87</v>
      </c>
      <c r="C29" s="74"/>
      <c r="D29" s="63">
        <f>IF(ISERROR(VLOOKUP($BG$8,Вспомогательный!$E$2:$AH$7,$BE29,FALSE))=TRUE,"",IF(VLOOKUP($BG$8,Вспомогательный!$E$2:$AH$7,$BE29,FALSE)=0,"",VLOOKUP($BG$8,Вспомогательный!$E$2:$AH$7,$BE29,FALSE)))</f>
        <v>5000</v>
      </c>
      <c r="E29" s="25"/>
      <c r="F29" s="48" t="str">
        <f>IF(AND(BG29&lt;&gt;C29,C29&lt;&gt;""),"Проверьте сумму за интернет и телефон","") &amp; IF(C29&gt;8000," Проверьте сумму за телефон - большое значение","")</f>
        <v/>
      </c>
      <c r="G29" s="46"/>
      <c r="H29" s="46"/>
      <c r="K29" s="6"/>
      <c r="L29" s="6"/>
      <c r="M29" s="6"/>
      <c r="T29" s="47"/>
      <c r="BA29" s="207"/>
      <c r="BB29" s="207"/>
      <c r="BC29" s="207"/>
      <c r="BD29" s="207"/>
      <c r="BE29" s="207">
        <v>8</v>
      </c>
      <c r="BF29" s="207"/>
      <c r="BG29" s="207">
        <f>IF(ISNUMBER(C29),IF(AND(C29&gt;=0,C29&lt;10000),C29,D29),D29)</f>
        <v>5000</v>
      </c>
      <c r="BH29" s="207"/>
      <c r="BI29" s="207"/>
      <c r="BJ29" s="207"/>
      <c r="BK29" s="207"/>
      <c r="BL29" s="207"/>
      <c r="BM29" s="207"/>
    </row>
    <row r="30" spans="2:65" x14ac:dyDescent="0.2">
      <c r="B30" s="6" t="s">
        <v>1</v>
      </c>
      <c r="C30" s="74"/>
      <c r="D30" s="63">
        <f>IF(ISERROR(VLOOKUP($BG$8,Вспомогательный!$E$2:$AH$7,$BE30,FALSE))=TRUE,"",IF(VLOOKUP($BG$8,Вспомогательный!$E$2:$AH$7,$BE30,FALSE)=0,"",VLOOKUP($BG$8,Вспомогательный!$E$2:$AH$7,$BE30,FALSE)))</f>
        <v>5000</v>
      </c>
      <c r="E30" s="25" t="s">
        <v>188</v>
      </c>
      <c r="F30" s="48" t="str">
        <f>IF(AND(C30&lt;&gt;"",C30&lt;&gt;BG30),"Проверьте сумму за уборку","") &amp; IF(C30&gt;40000," Проверьте сумму за уборку - большое значение","")</f>
        <v/>
      </c>
      <c r="G30" s="46"/>
      <c r="H30" s="46"/>
      <c r="K30" s="6"/>
      <c r="L30" s="6"/>
      <c r="M30" s="6"/>
      <c r="T30" s="47"/>
      <c r="BA30" s="207"/>
      <c r="BB30" s="207"/>
      <c r="BC30" s="207"/>
      <c r="BD30" s="207"/>
      <c r="BE30" s="207">
        <v>9</v>
      </c>
      <c r="BF30" s="207"/>
      <c r="BG30" s="207">
        <f>IF(ISNUMBER(C30),IF(AND(C30&gt;=0,C30&lt;10000),C30,D30),D30)</f>
        <v>5000</v>
      </c>
      <c r="BH30" s="207"/>
      <c r="BI30" s="207"/>
      <c r="BJ30" s="207"/>
      <c r="BK30" s="207"/>
      <c r="BL30" s="207"/>
      <c r="BM30" s="207"/>
    </row>
    <row r="31" spans="2:65" x14ac:dyDescent="0.2">
      <c r="B31" s="58" t="s">
        <v>255</v>
      </c>
      <c r="C31" s="74"/>
      <c r="D31" s="63">
        <f>IF(ISERROR(VLOOKUP($BG$8,Вспомогательный!$E$2:$AH$7,$BE31,FALSE))=TRUE,"",IF(VLOOKUP($BG$8,Вспомогательный!$E$2:$AH$7,$BE31,FALSE)=0,"",VLOOKUP($BG$8,Вспомогательный!$E$2:$AH$7,$BE31,FALSE)))</f>
        <v>60000</v>
      </c>
      <c r="E31" s="25" t="s">
        <v>188</v>
      </c>
      <c r="F31" s="48" t="str">
        <f>IF(AND(C31&lt;&gt;"",BG31&lt;&gt;C31),"Ошибка! Сумма не должна быть меньше 0 и больше 200 тыс","")</f>
        <v/>
      </c>
      <c r="G31" s="46"/>
      <c r="H31" s="46"/>
      <c r="K31" s="6"/>
      <c r="L31" s="6"/>
      <c r="M31" s="6"/>
      <c r="T31" s="47"/>
      <c r="BA31" s="207"/>
      <c r="BB31" s="207"/>
      <c r="BC31" s="207"/>
      <c r="BD31" s="207"/>
      <c r="BE31" s="207">
        <v>10</v>
      </c>
      <c r="BF31" s="207"/>
      <c r="BG31" s="207">
        <f>IF(ISNUMBER(C31),IF(AND(C31&gt;=0,C31&lt;200000),C31,D31),D31)</f>
        <v>60000</v>
      </c>
      <c r="BH31" s="207"/>
      <c r="BI31" s="207"/>
      <c r="BJ31" s="207"/>
      <c r="BK31" s="207"/>
      <c r="BL31" s="207"/>
      <c r="BM31" s="207"/>
    </row>
    <row r="32" spans="2:65" x14ac:dyDescent="0.2">
      <c r="B32" s="58" t="s">
        <v>202</v>
      </c>
      <c r="C32" s="78"/>
      <c r="D32" s="63">
        <f>IF(ISERROR(VLOOKUP($BG$8,Вспомогательный!$E$2:$AH$7,$BE32,FALSE))=TRUE,"",IF(VLOOKUP($BG$8,Вспомогательный!$E$2:$AH$7,$BE32,FALSE)=0,"",VLOOKUP($BG$8,Вспомогательный!$E$2:$AH$7,$BE32,FALSE)))</f>
        <v>5600</v>
      </c>
      <c r="E32" s="25" t="s">
        <v>188</v>
      </c>
      <c r="F32" s="48" t="str">
        <f>IF(C32&lt;0,"Проверьте сумму прочих расходов, сейчас сумма с минусом, значит это доход!","") &amp; IF(AND(ISNUMBER(C32)=FALSE,C32&lt;&gt;""),"Проверьте сумму прочих расходов, должно быть указанно число","")</f>
        <v/>
      </c>
      <c r="G32" s="46"/>
      <c r="H32" s="46"/>
      <c r="K32" s="6"/>
      <c r="L32" s="6"/>
      <c r="M32" s="6"/>
      <c r="T32" s="47"/>
      <c r="BA32" s="207"/>
      <c r="BB32" s="207"/>
      <c r="BC32" s="207"/>
      <c r="BD32" s="207"/>
      <c r="BE32" s="207">
        <v>15</v>
      </c>
      <c r="BF32" s="207"/>
      <c r="BG32" s="207">
        <f>IF(ISNUMBER(C32),C32,D32)</f>
        <v>5600</v>
      </c>
      <c r="BH32" s="207"/>
      <c r="BI32" s="207"/>
      <c r="BJ32" s="207"/>
      <c r="BK32" s="207"/>
      <c r="BL32" s="207"/>
      <c r="BM32" s="207"/>
    </row>
    <row r="33" spans="1:65" x14ac:dyDescent="0.2">
      <c r="B33" s="58" t="s">
        <v>258</v>
      </c>
      <c r="C33" s="78"/>
      <c r="D33" s="63">
        <f>IF(ISERROR(VLOOKUP($BG$8,Вспомогательный!$E$2:$AH$7,$BE33,FALSE))=TRUE,"",IF(VLOOKUP($BG$8,Вспомогательный!$E$2:$AH$7,$BE33,FALSE)=0,"",VLOOKUP($BG$8,Вспомогательный!$E$2:$AH$7,$BE33,FALSE)))</f>
        <v>9000</v>
      </c>
      <c r="E33" s="25" t="s">
        <v>188</v>
      </c>
      <c r="F33" s="48" t="str">
        <f>IF(C33&lt;0,"Проверьте сумму прочих расходов, сейчас сумма с минусом, значит это доход!","") &amp; IF(AND(ISNUMBER(C33)=FALSE,C33&lt;&gt;""),"Проверьте сумму прочих расходов, должно быть указанно число","")</f>
        <v/>
      </c>
      <c r="G33" s="46"/>
      <c r="H33" s="46"/>
      <c r="K33" s="6"/>
      <c r="L33" s="6"/>
      <c r="M33" s="6"/>
      <c r="T33" s="47"/>
      <c r="BA33" s="207"/>
      <c r="BB33" s="207"/>
      <c r="BC33" s="207"/>
      <c r="BD33" s="207"/>
      <c r="BE33" s="207">
        <v>21</v>
      </c>
      <c r="BF33" s="207"/>
      <c r="BG33" s="207">
        <f>IF(ISNUMBER(C33),C33,D33)</f>
        <v>9000</v>
      </c>
      <c r="BH33" s="207"/>
      <c r="BI33" s="207"/>
      <c r="BJ33" s="207"/>
      <c r="BK33" s="207"/>
      <c r="BL33" s="207"/>
      <c r="BM33" s="207"/>
    </row>
    <row r="34" spans="1:65" x14ac:dyDescent="0.2">
      <c r="B34" s="57"/>
      <c r="C34" s="72"/>
      <c r="E34" s="25"/>
      <c r="G34" s="46"/>
      <c r="H34" s="46"/>
      <c r="K34" s="6"/>
      <c r="L34" s="6"/>
      <c r="M34" s="6"/>
      <c r="T34" s="47"/>
      <c r="BA34" s="207"/>
      <c r="BB34" s="207"/>
      <c r="BC34" s="207"/>
      <c r="BD34" s="207"/>
      <c r="BE34" s="207"/>
      <c r="BF34" s="207"/>
      <c r="BG34" s="207"/>
      <c r="BH34" s="207"/>
      <c r="BI34" s="207"/>
      <c r="BJ34" s="207"/>
      <c r="BK34" s="207"/>
      <c r="BL34" s="207"/>
      <c r="BM34" s="207"/>
    </row>
    <row r="35" spans="1:65" x14ac:dyDescent="0.2">
      <c r="B35" s="57" t="s">
        <v>204</v>
      </c>
      <c r="C35" s="72"/>
      <c r="E35" s="25"/>
      <c r="G35" s="46"/>
      <c r="H35" s="46"/>
      <c r="K35" s="6"/>
      <c r="L35" s="6"/>
      <c r="M35" s="6"/>
      <c r="T35" s="47"/>
      <c r="BA35" s="207"/>
      <c r="BB35" s="207"/>
      <c r="BC35" s="207"/>
      <c r="BD35" s="207"/>
      <c r="BE35" s="207"/>
      <c r="BF35" s="207"/>
      <c r="BG35" s="207"/>
      <c r="BH35" s="207"/>
      <c r="BI35" s="207"/>
      <c r="BJ35" s="207"/>
      <c r="BK35" s="207"/>
      <c r="BL35" s="207"/>
      <c r="BM35" s="207"/>
    </row>
    <row r="36" spans="1:65" x14ac:dyDescent="0.2">
      <c r="C36" s="72"/>
      <c r="E36" s="25"/>
      <c r="BA36" s="207"/>
      <c r="BB36" s="207"/>
      <c r="BC36" s="207"/>
      <c r="BD36" s="207"/>
      <c r="BE36" s="207"/>
      <c r="BF36" s="207"/>
      <c r="BG36" s="207"/>
      <c r="BH36" s="207"/>
      <c r="BI36" s="207"/>
      <c r="BJ36" s="207"/>
      <c r="BK36" s="207"/>
      <c r="BL36" s="207"/>
      <c r="BM36" s="207"/>
    </row>
    <row r="37" spans="1:65" x14ac:dyDescent="0.2">
      <c r="B37" s="58" t="s">
        <v>201</v>
      </c>
      <c r="C37" s="78"/>
      <c r="D37" s="63">
        <f>IF(ISERROR(VLOOKUP($BG$8,Вспомогательный!$E$2:$AH$7,$BE37,FALSE))=TRUE,"",IF(VLOOKUP($BG$8,Вспомогательный!$E$2:$AH$7,$BE37,FALSE)=0,"",VLOOKUP($BG$8,Вспомогательный!$E$2:$AH$7,$BE37,FALSE)))</f>
        <v>1500</v>
      </c>
      <c r="E37" s="25" t="s">
        <v>188</v>
      </c>
      <c r="F37" s="48" t="str">
        <f>IF(C37&lt;0,"Ошибка, зарплата преподавателя не может быть меньше 0",IF(AND(OR(C37="",C37=0),BG37&lt;1),"Если планируете преподавать сами - оклад преподавателю можно не ставить","")) &amp; IF(C37&gt;100000,"Проверьте сумму заработной платы преподавателю - большое значение","") &amp; IF(C13&gt;10,"Много учеников в одном классе, может понадобится помощник преподавателя, учтите, когда будете указывать заработную плату ","")</f>
        <v/>
      </c>
      <c r="G37" s="46"/>
      <c r="H37" s="46"/>
      <c r="K37" s="6"/>
      <c r="L37" s="6"/>
      <c r="M37" s="6"/>
      <c r="T37" s="47"/>
      <c r="BA37" s="207"/>
      <c r="BB37" s="207"/>
      <c r="BC37" s="207"/>
      <c r="BD37" s="207"/>
      <c r="BE37" s="207">
        <v>11</v>
      </c>
      <c r="BF37" s="207"/>
      <c r="BG37" s="207">
        <f>IF(ISNUMBER(C37),IF(AND(C37&gt;=0,C37&lt;200000),C37,D37),D37)</f>
        <v>1500</v>
      </c>
      <c r="BH37" s="207"/>
      <c r="BI37" s="207"/>
      <c r="BJ37" s="207"/>
      <c r="BK37" s="207"/>
      <c r="BL37" s="207"/>
      <c r="BM37" s="207"/>
    </row>
    <row r="38" spans="1:65" x14ac:dyDescent="0.2">
      <c r="B38" s="58" t="s">
        <v>89</v>
      </c>
      <c r="C38" s="78"/>
      <c r="D38" s="63">
        <f>IF(ISERROR(VLOOKUP($BG$8,Вспомогательный!$E$2:$AH$7,$BE38,FALSE))=TRUE,"",IF(VLOOKUP($BG$8,Вспомогательный!$E$2:$AH$7,$BE38,FALSE)=0,"",VLOOKUP($BG$8,Вспомогательный!$E$2:$AH$7,$BE38,FALSE)))</f>
        <v>40000</v>
      </c>
      <c r="E38" s="25" t="s">
        <v>188</v>
      </c>
      <c r="F38" s="48" t="str">
        <f>IF(C38&lt;0,"Ошибка, зарплата преподавателя не может быть меньше 0 ",IF(AND(OR(C38="",C38=0),BG38&lt;1),"Если планируете администрировать сами - оклад администратору можно не ставить ","")) &amp; IF(C38&gt;100000,"Проверьте сумму заработной платы администратору - большое значение","")</f>
        <v/>
      </c>
      <c r="G38" s="46"/>
      <c r="H38" s="46"/>
      <c r="K38" s="6"/>
      <c r="L38" s="6"/>
      <c r="M38" s="6"/>
      <c r="T38" s="47"/>
      <c r="BA38" s="207"/>
      <c r="BB38" s="207"/>
      <c r="BC38" s="207"/>
      <c r="BD38" s="207"/>
      <c r="BE38" s="207">
        <v>12</v>
      </c>
      <c r="BF38" s="207"/>
      <c r="BG38" s="207">
        <f>IF(ISNUMBER(C38),IF(AND(C38&gt;=0,C38&lt;10000),C38,D38),D38)</f>
        <v>40000</v>
      </c>
      <c r="BH38" s="207"/>
      <c r="BI38" s="207"/>
      <c r="BJ38" s="207"/>
      <c r="BK38" s="207"/>
      <c r="BL38" s="207"/>
      <c r="BM38" s="207"/>
    </row>
    <row r="39" spans="1:65" x14ac:dyDescent="0.2">
      <c r="C39" s="77"/>
      <c r="D39" s="62"/>
      <c r="E39" s="25"/>
      <c r="F39" s="48"/>
      <c r="G39" s="46"/>
      <c r="H39" s="46"/>
      <c r="K39" s="6"/>
      <c r="L39" s="6"/>
      <c r="M39" s="6"/>
      <c r="T39" s="47"/>
      <c r="BA39" s="207"/>
      <c r="BB39" s="207"/>
      <c r="BC39" s="207"/>
      <c r="BD39" s="207"/>
      <c r="BE39" s="207"/>
      <c r="BF39" s="207"/>
      <c r="BG39" s="207"/>
      <c r="BH39" s="207"/>
      <c r="BI39" s="207"/>
      <c r="BJ39" s="207"/>
      <c r="BK39" s="207"/>
      <c r="BL39" s="207"/>
      <c r="BM39" s="207"/>
    </row>
    <row r="40" spans="1:65" x14ac:dyDescent="0.2">
      <c r="B40" s="57" t="s">
        <v>203</v>
      </c>
      <c r="C40" s="77"/>
      <c r="D40" s="62"/>
      <c r="E40" s="25"/>
      <c r="F40" s="48"/>
      <c r="G40" s="46"/>
      <c r="H40" s="46"/>
      <c r="K40" s="6"/>
      <c r="L40" s="6"/>
      <c r="M40" s="6"/>
      <c r="T40" s="47"/>
      <c r="BA40" s="207"/>
      <c r="BB40" s="207"/>
      <c r="BC40" s="207"/>
      <c r="BD40" s="207"/>
      <c r="BE40" s="207"/>
      <c r="BF40" s="207"/>
      <c r="BG40" s="207"/>
      <c r="BH40" s="207"/>
      <c r="BI40" s="207"/>
      <c r="BJ40" s="207"/>
      <c r="BK40" s="207"/>
      <c r="BL40" s="207"/>
      <c r="BM40" s="207"/>
    </row>
    <row r="41" spans="1:65" x14ac:dyDescent="0.2">
      <c r="B41" s="58" t="s">
        <v>91</v>
      </c>
      <c r="C41" s="75"/>
      <c r="D41" s="65">
        <f>IF(ISERROR(VLOOKUP($BG$8,Вспомогательный!$E$2:$AH$7,$BE41,FALSE))=TRUE,"",IF(VLOOKUP($BG$8,Вспомогательный!$E$2:$AH$7,$BE41,FALSE)=0,"",VLOOKUP($BG$8,Вспомогательный!$E$2:$AH$7,$BE41,FALSE)))</f>
        <v>30000</v>
      </c>
      <c r="E41" s="25" t="s">
        <v>188</v>
      </c>
      <c r="F41" s="66" t="str">
        <f>IF(ISNUMBER(C41)=TRUE,IF(C41&lt;0,"Нельзя вводить отрицательную сумму за патент, проверьте сумму в столбце 'B'",""),IF(AND(C41&lt;&gt;Вспомогательный!$G$19,C41&lt;&gt;"",ISERROR(VLOOKUP(C41,Вспомогательный!G16:H18,1,0))=TRUE),"Выберите налоговую систему из списка или введите сумму налога за год","")) &amp; IF(C41=Вспомогательный!$G$19,"Внимание! При патентной системе вы должны ввести в столбце 'B' стоимость патента за год","")</f>
        <v/>
      </c>
      <c r="G41" s="46"/>
      <c r="H41" s="46"/>
      <c r="K41" s="6"/>
      <c r="L41" s="6"/>
      <c r="M41" s="6"/>
      <c r="T41" s="47"/>
      <c r="BA41" s="207"/>
      <c r="BB41" s="207"/>
      <c r="BC41" s="207"/>
      <c r="BD41" s="207"/>
      <c r="BE41" s="207">
        <v>13</v>
      </c>
      <c r="BF41" s="207" t="str">
        <f>IF(ISERROR(VLOOKUP(C41,Вспомогательный!G16:H18,1,0))=TRUE,IF(ISNUMBER(C41)=FALSE,IF(ISERROR(VLOOKUP(D41,Вспомогательный!G16:H18,1,0))=FALSE,VLOOKUP(D41,Вспомогательный!G16:H18,1,0),""),""),VLOOKUP(C41,Вспомогательный!G16:H18,1,0))</f>
        <v/>
      </c>
      <c r="BG41" s="207">
        <f>IF(ISERROR(VLOOKUP(C41,Вспомогательный!G16:H18,1,0))=TRUE,IF(ISNUMBER(C41)=TRUE,C41,IF(ISERROR(VLOOKUP(D41,Вспомогательный!G16:H18,1,0))=TRUE,IF(ISNUMBER(D41)=TRUE,D41,""),"")),"")</f>
        <v>30000</v>
      </c>
      <c r="BH41" s="207"/>
      <c r="BI41" s="207"/>
      <c r="BJ41" s="207"/>
      <c r="BK41" s="207"/>
      <c r="BL41" s="207"/>
      <c r="BM41" s="207"/>
    </row>
    <row r="42" spans="1:65" x14ac:dyDescent="0.2">
      <c r="B42" s="58" t="s">
        <v>113</v>
      </c>
      <c r="C42" s="79"/>
      <c r="D42" s="61" t="str">
        <f>IF(ISERROR(VLOOKUP($BG$8,Вспомогательный!$E$2:$AH$7,$BE42,FALSE))=TRUE,"",IF(VLOOKUP($BG$8,Вспомогательный!$E$2:$AH$7,$BE42,FALSE)=0,"",VLOOKUP($BG$8,Вспомогательный!$E$2:$AH$7,$BE42,FALSE)))</f>
        <v>Полный</v>
      </c>
      <c r="E42" s="25" t="s">
        <v>188</v>
      </c>
      <c r="F42" s="48" t="str">
        <f>IF(AND(C42&lt;&gt;"",C42&lt;&gt;BG42),"Внимание, ошибка! Проверьте сумму налогов на заработную плату. Сейчас используется для фин.результата значение по умолчанию ","" ) &amp; IF(C42=Вспомогательный!$P$18,"Ошибка! Необходимо в столбце 'B' ввести сумму, от которой будет посчитан налог ","") &amp; IF(AND(C42&lt;&gt;"",ISERROR(VLOOKUP($C$42,Вспомогательный!$P$16:$P$18,1,0))=TRUE,ISNUMBER(C42)=FALSE),"Ошибка! Проверьте значение в строке налоги на заработную плату. Можно выбрать значение или цифрами указать фиксированную базу, от которой будет считаться налог, независимо от суммы заработной платы","")</f>
        <v/>
      </c>
      <c r="G42" s="46"/>
      <c r="H42" s="46"/>
      <c r="K42" s="6"/>
      <c r="L42" s="6"/>
      <c r="M42" s="6"/>
      <c r="T42" s="47"/>
      <c r="BA42" s="207"/>
      <c r="BB42" s="207"/>
      <c r="BC42" s="207"/>
      <c r="BD42" s="207"/>
      <c r="BE42" s="207">
        <v>16</v>
      </c>
      <c r="BF42" s="207"/>
      <c r="BG42" s="207" t="str">
        <f>IF(ISNUMBER($C$42)=TRUE,IF($C$42&gt;0,$C$42,0),IF(ISERROR(VLOOKUP($C$42,Вспомогательный!$P$16:$P$18,1,0))=FALSE,VLOOKUP($C$42,Вспомогательный!$P$16:$P$18,1,0),IF(ISERROR(VLOOKUP($D$42,Вспомогательный!$P$16:$P$18,1,0))=FALSE,VLOOKUP($D$42,Вспомогательный!$P$16:$P$18,1,0),IF(ISNUMBER($D$42)=TRUE,$D$42,Вспомогательный!$P$17))))</f>
        <v>Полный</v>
      </c>
      <c r="BH42" s="207"/>
      <c r="BI42" s="207"/>
      <c r="BJ42" s="207"/>
      <c r="BK42" s="207"/>
      <c r="BL42" s="207"/>
      <c r="BM42" s="207"/>
    </row>
    <row r="43" spans="1:65" x14ac:dyDescent="0.2">
      <c r="C43" s="72"/>
      <c r="E43" s="25"/>
      <c r="K43" s="6"/>
      <c r="L43" s="6"/>
      <c r="M43" s="6"/>
      <c r="T43" s="47"/>
      <c r="BA43" s="207"/>
      <c r="BB43" s="207"/>
      <c r="BC43" s="207"/>
      <c r="BD43" s="207"/>
      <c r="BE43" s="207"/>
      <c r="BF43" s="207"/>
      <c r="BG43" s="207"/>
      <c r="BH43" s="207"/>
      <c r="BI43" s="207"/>
      <c r="BJ43" s="207"/>
      <c r="BK43" s="207"/>
      <c r="BL43" s="207"/>
      <c r="BM43" s="207"/>
    </row>
    <row r="44" spans="1:65" x14ac:dyDescent="0.2">
      <c r="E44" s="25"/>
      <c r="K44" s="6"/>
      <c r="L44" s="6"/>
      <c r="M44" s="6"/>
      <c r="T44" s="47"/>
      <c r="BE44" s="51"/>
      <c r="BF44" s="51"/>
      <c r="BG44" s="51"/>
      <c r="BH44" s="51"/>
    </row>
    <row r="45" spans="1:65" s="189" customFormat="1" ht="30" customHeight="1" x14ac:dyDescent="0.2">
      <c r="A45" s="185" t="s">
        <v>210</v>
      </c>
      <c r="B45" s="186"/>
      <c r="C45" s="187"/>
      <c r="D45" s="187"/>
      <c r="E45" s="188"/>
      <c r="F45" s="188"/>
      <c r="G45" s="188"/>
      <c r="H45" s="188"/>
      <c r="I45" s="188"/>
      <c r="J45" s="188"/>
      <c r="K45" s="188"/>
      <c r="Q45" s="187"/>
      <c r="R45" s="187"/>
      <c r="S45" s="187"/>
      <c r="T45" s="187"/>
      <c r="U45" s="187"/>
      <c r="V45" s="187"/>
      <c r="W45" s="187"/>
      <c r="X45" s="187"/>
      <c r="Y45" s="187"/>
      <c r="Z45" s="187"/>
      <c r="AA45" s="188"/>
      <c r="AB45" s="188"/>
      <c r="AD45" s="188"/>
      <c r="AE45" s="188"/>
      <c r="AF45" s="188"/>
      <c r="AG45" s="188"/>
      <c r="AH45" s="188"/>
      <c r="AI45" s="188"/>
      <c r="AJ45" s="188"/>
      <c r="AK45" s="188"/>
      <c r="AL45" s="188"/>
      <c r="AM45" s="188"/>
      <c r="AN45" s="188"/>
      <c r="AO45" s="188"/>
      <c r="AQ45" s="188"/>
      <c r="AR45" s="188"/>
      <c r="AS45" s="188"/>
      <c r="AT45" s="188"/>
      <c r="AU45" s="188"/>
      <c r="AV45" s="188"/>
      <c r="AW45" s="188"/>
      <c r="AX45" s="188"/>
      <c r="AY45" s="188"/>
      <c r="AZ45" s="188"/>
      <c r="BA45" s="188"/>
      <c r="BB45" s="188"/>
    </row>
    <row r="46" spans="1:65" s="184" customFormat="1" ht="21" x14ac:dyDescent="0.25">
      <c r="A46" s="182" t="str">
        <f>HYPERLINK("https://roblab.ru/franchise/","Перейти на сайт ")</f>
        <v xml:space="preserve">Перейти на сайт </v>
      </c>
      <c r="B46" s="183"/>
      <c r="C46" s="183"/>
      <c r="D46" s="183"/>
      <c r="E46" s="183"/>
      <c r="F46" s="183"/>
      <c r="G46" s="183"/>
      <c r="H46" s="183"/>
      <c r="I46" s="183"/>
      <c r="J46" s="183"/>
      <c r="K46" s="183"/>
      <c r="Q46" s="183"/>
      <c r="R46" s="183"/>
      <c r="S46" s="183"/>
      <c r="T46" s="183"/>
      <c r="U46" s="183"/>
      <c r="V46" s="183"/>
      <c r="W46" s="183"/>
      <c r="X46" s="183"/>
      <c r="Y46" s="183"/>
      <c r="Z46" s="183"/>
      <c r="AA46" s="183"/>
      <c r="AB46" s="183"/>
      <c r="AD46" s="183"/>
      <c r="AE46" s="183"/>
      <c r="AF46" s="183"/>
      <c r="AG46" s="183"/>
      <c r="AH46" s="183"/>
      <c r="AI46" s="183"/>
      <c r="AJ46" s="183"/>
      <c r="AK46" s="183"/>
      <c r="AL46" s="183"/>
      <c r="AM46" s="183"/>
      <c r="AN46" s="183"/>
      <c r="AO46" s="183"/>
      <c r="AQ46" s="183"/>
      <c r="AR46" s="183"/>
      <c r="AS46" s="183"/>
      <c r="AT46" s="183"/>
      <c r="AU46" s="183"/>
      <c r="AV46" s="183"/>
      <c r="AW46" s="183"/>
      <c r="AX46" s="183"/>
      <c r="AY46" s="183"/>
      <c r="AZ46" s="183"/>
      <c r="BA46" s="183"/>
      <c r="BB46" s="183"/>
    </row>
    <row r="47" spans="1:65" s="22" customFormat="1" x14ac:dyDescent="0.2">
      <c r="C47" s="67"/>
      <c r="D47" s="67"/>
      <c r="E47" s="47"/>
      <c r="F47" s="23"/>
      <c r="G47" s="47"/>
      <c r="H47" s="47"/>
      <c r="I47" s="47"/>
      <c r="J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1:65" s="22" customFormat="1" x14ac:dyDescent="0.2">
      <c r="C48" s="67"/>
      <c r="D48" s="67"/>
      <c r="E48" s="47"/>
      <c r="F48" s="23"/>
      <c r="G48" s="47"/>
      <c r="H48" s="47"/>
      <c r="I48" s="47"/>
      <c r="J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3:47" s="22" customFormat="1" x14ac:dyDescent="0.2">
      <c r="C49" s="67"/>
      <c r="D49" s="67"/>
      <c r="E49" s="47"/>
      <c r="F49" s="23"/>
      <c r="G49" s="47"/>
      <c r="H49" s="47"/>
      <c r="I49" s="47"/>
      <c r="J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3:47" s="22" customFormat="1" x14ac:dyDescent="0.2">
      <c r="C50" s="67"/>
      <c r="D50" s="67"/>
      <c r="E50" s="47"/>
      <c r="F50" s="23"/>
      <c r="G50" s="47"/>
      <c r="H50" s="47"/>
      <c r="I50" s="47"/>
      <c r="J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3:47" s="22" customFormat="1" x14ac:dyDescent="0.2">
      <c r="C51" s="67"/>
      <c r="D51" s="67"/>
      <c r="E51" s="47"/>
      <c r="F51" s="23"/>
      <c r="G51" s="47"/>
      <c r="H51" s="47"/>
      <c r="I51" s="47"/>
      <c r="J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row r="52" spans="3:47" s="22" customFormat="1" x14ac:dyDescent="0.2">
      <c r="C52" s="67"/>
      <c r="D52" s="67"/>
      <c r="E52" s="47"/>
      <c r="F52" s="23"/>
      <c r="G52" s="47"/>
      <c r="H52" s="47"/>
      <c r="I52" s="47"/>
      <c r="J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row>
    <row r="53" spans="3:47" s="22" customFormat="1" x14ac:dyDescent="0.2">
      <c r="C53" s="67"/>
      <c r="D53" s="67"/>
      <c r="E53" s="47"/>
      <c r="F53" s="23"/>
      <c r="G53" s="47"/>
      <c r="H53" s="47"/>
      <c r="I53" s="47"/>
      <c r="J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row>
    <row r="54" spans="3:47" s="22" customFormat="1" x14ac:dyDescent="0.2">
      <c r="C54" s="67"/>
      <c r="D54" s="67"/>
      <c r="E54" s="47"/>
      <c r="F54" s="23"/>
      <c r="G54" s="47"/>
      <c r="H54" s="47"/>
      <c r="I54" s="47"/>
      <c r="J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row>
    <row r="55" spans="3:47" s="22" customFormat="1" x14ac:dyDescent="0.2">
      <c r="C55" s="67"/>
      <c r="D55" s="67"/>
      <c r="E55" s="47"/>
      <c r="F55" s="23"/>
      <c r="G55" s="47"/>
      <c r="H55" s="47"/>
      <c r="I55" s="47"/>
      <c r="J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row>
    <row r="56" spans="3:47" s="22" customFormat="1" x14ac:dyDescent="0.2">
      <c r="C56" s="67"/>
      <c r="D56" s="67"/>
      <c r="E56" s="47"/>
      <c r="F56" s="23"/>
      <c r="G56" s="47"/>
      <c r="H56" s="47"/>
      <c r="I56" s="47"/>
      <c r="J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row>
    <row r="57" spans="3:47" s="22" customFormat="1" x14ac:dyDescent="0.2">
      <c r="C57" s="67"/>
      <c r="D57" s="67"/>
      <c r="E57" s="47"/>
      <c r="F57" s="23"/>
      <c r="G57" s="47"/>
      <c r="H57" s="47"/>
      <c r="I57" s="47"/>
      <c r="J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row>
    <row r="58" spans="3:47" s="22" customFormat="1" x14ac:dyDescent="0.2">
      <c r="C58" s="67"/>
      <c r="D58" s="67"/>
      <c r="E58" s="47"/>
      <c r="F58" s="23"/>
      <c r="G58" s="47"/>
      <c r="H58" s="47"/>
      <c r="I58" s="47"/>
      <c r="J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row>
    <row r="59" spans="3:47" s="22" customFormat="1" x14ac:dyDescent="0.2">
      <c r="C59" s="67"/>
      <c r="D59" s="67"/>
      <c r="E59" s="47"/>
      <c r="F59" s="23"/>
      <c r="G59" s="47"/>
      <c r="H59" s="47"/>
      <c r="I59" s="47"/>
      <c r="J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row>
    <row r="60" spans="3:47" s="22" customFormat="1" x14ac:dyDescent="0.2">
      <c r="C60" s="67"/>
      <c r="D60" s="67"/>
      <c r="E60" s="47"/>
      <c r="F60" s="23"/>
      <c r="G60" s="47"/>
      <c r="H60" s="47"/>
      <c r="I60" s="47"/>
      <c r="J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row>
    <row r="61" spans="3:47" s="22" customFormat="1" x14ac:dyDescent="0.2">
      <c r="C61" s="67"/>
      <c r="D61" s="67"/>
      <c r="E61" s="47"/>
      <c r="F61" s="23"/>
      <c r="G61" s="47"/>
      <c r="H61" s="47"/>
      <c r="I61" s="47"/>
      <c r="J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row>
    <row r="62" spans="3:47" s="22" customFormat="1" x14ac:dyDescent="0.2">
      <c r="C62" s="67"/>
      <c r="D62" s="67"/>
      <c r="E62" s="47"/>
      <c r="F62" s="23"/>
      <c r="G62" s="47"/>
      <c r="H62" s="47"/>
      <c r="I62" s="47"/>
      <c r="J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row>
    <row r="63" spans="3:47" s="22" customFormat="1" x14ac:dyDescent="0.2">
      <c r="C63" s="67"/>
      <c r="D63" s="67"/>
      <c r="E63" s="47"/>
      <c r="F63" s="23"/>
      <c r="G63" s="47"/>
      <c r="H63" s="47"/>
      <c r="I63" s="47"/>
      <c r="J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3:47" s="22" customFormat="1" x14ac:dyDescent="0.2">
      <c r="C64" s="67"/>
      <c r="D64" s="67"/>
      <c r="E64" s="47"/>
      <c r="F64" s="23"/>
      <c r="G64" s="47"/>
      <c r="H64" s="47"/>
      <c r="I64" s="47"/>
      <c r="J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row>
    <row r="65" spans="3:47" s="22" customFormat="1" x14ac:dyDescent="0.2">
      <c r="C65" s="67"/>
      <c r="D65" s="67"/>
      <c r="E65" s="47"/>
      <c r="F65" s="23"/>
      <c r="G65" s="47"/>
      <c r="H65" s="47"/>
      <c r="I65" s="47"/>
      <c r="J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row>
    <row r="66" spans="3:47" s="22" customFormat="1" x14ac:dyDescent="0.2">
      <c r="C66" s="67"/>
      <c r="D66" s="67"/>
      <c r="E66" s="47"/>
      <c r="F66" s="23"/>
      <c r="G66" s="47"/>
      <c r="H66" s="47"/>
      <c r="I66" s="47"/>
      <c r="J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row>
    <row r="67" spans="3:47" s="22" customFormat="1" x14ac:dyDescent="0.2">
      <c r="C67" s="67"/>
      <c r="D67" s="67"/>
      <c r="E67" s="47"/>
      <c r="F67" s="23"/>
      <c r="G67" s="47"/>
      <c r="H67" s="47"/>
      <c r="I67" s="47"/>
      <c r="J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row>
    <row r="68" spans="3:47" s="22" customFormat="1" x14ac:dyDescent="0.2">
      <c r="C68" s="67"/>
      <c r="D68" s="67"/>
      <c r="E68" s="47"/>
      <c r="F68" s="23"/>
      <c r="G68" s="47"/>
      <c r="H68" s="47"/>
      <c r="I68" s="47"/>
      <c r="J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row>
    <row r="69" spans="3:47" s="22" customFormat="1" x14ac:dyDescent="0.2">
      <c r="C69" s="67"/>
      <c r="D69" s="67"/>
      <c r="E69" s="47"/>
      <c r="F69" s="23"/>
      <c r="G69" s="47"/>
      <c r="H69" s="47"/>
      <c r="I69" s="47"/>
      <c r="J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row>
    <row r="70" spans="3:47" s="22" customFormat="1" x14ac:dyDescent="0.2">
      <c r="C70" s="67"/>
      <c r="D70" s="67"/>
      <c r="E70" s="47"/>
      <c r="F70" s="23"/>
      <c r="G70" s="47"/>
      <c r="H70" s="47"/>
      <c r="I70" s="47"/>
      <c r="J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row>
    <row r="71" spans="3:47" s="22" customFormat="1" x14ac:dyDescent="0.2">
      <c r="C71" s="67"/>
      <c r="D71" s="67"/>
      <c r="E71" s="47"/>
      <c r="F71" s="23"/>
      <c r="G71" s="47"/>
      <c r="H71" s="47"/>
      <c r="I71" s="47"/>
      <c r="J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row>
    <row r="72" spans="3:47" s="22" customFormat="1" x14ac:dyDescent="0.2">
      <c r="C72" s="67"/>
      <c r="D72" s="67"/>
      <c r="E72" s="47"/>
      <c r="F72" s="23"/>
      <c r="G72" s="47"/>
      <c r="H72" s="47"/>
      <c r="I72" s="47"/>
      <c r="J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row>
    <row r="73" spans="3:47" s="22" customFormat="1" x14ac:dyDescent="0.2">
      <c r="C73" s="67"/>
      <c r="D73" s="67"/>
      <c r="E73" s="47"/>
      <c r="F73" s="23"/>
      <c r="G73" s="47"/>
      <c r="H73" s="47"/>
      <c r="I73" s="47"/>
      <c r="J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row>
    <row r="74" spans="3:47" s="22" customFormat="1" x14ac:dyDescent="0.2">
      <c r="C74" s="67"/>
      <c r="D74" s="67"/>
      <c r="E74" s="47"/>
      <c r="F74" s="23"/>
      <c r="G74" s="47"/>
      <c r="H74" s="47"/>
      <c r="I74" s="47"/>
      <c r="J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row>
    <row r="75" spans="3:47" s="22" customFormat="1" x14ac:dyDescent="0.2">
      <c r="C75" s="67"/>
      <c r="D75" s="67"/>
      <c r="E75" s="47"/>
      <c r="F75" s="23"/>
      <c r="G75" s="47"/>
      <c r="H75" s="47"/>
      <c r="I75" s="47"/>
      <c r="J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row>
    <row r="76" spans="3:47" s="22" customFormat="1" x14ac:dyDescent="0.2">
      <c r="C76" s="67"/>
      <c r="D76" s="67"/>
      <c r="E76" s="47"/>
      <c r="F76" s="23"/>
      <c r="G76" s="47"/>
      <c r="H76" s="47"/>
      <c r="I76" s="47"/>
      <c r="J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row>
    <row r="77" spans="3:47" s="22" customFormat="1" x14ac:dyDescent="0.2">
      <c r="C77" s="67"/>
      <c r="D77" s="67"/>
      <c r="E77" s="47"/>
      <c r="F77" s="23"/>
      <c r="G77" s="47"/>
      <c r="H77" s="47"/>
      <c r="I77" s="47"/>
      <c r="J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row>
    <row r="78" spans="3:47" s="22" customFormat="1" x14ac:dyDescent="0.2">
      <c r="C78" s="67"/>
      <c r="D78" s="67"/>
      <c r="E78" s="47"/>
      <c r="F78" s="23"/>
      <c r="G78" s="47"/>
      <c r="H78" s="47"/>
      <c r="I78" s="47"/>
      <c r="J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row>
    <row r="79" spans="3:47" s="22" customFormat="1" x14ac:dyDescent="0.2">
      <c r="C79" s="67"/>
      <c r="D79" s="67"/>
      <c r="E79" s="47"/>
      <c r="F79" s="23"/>
      <c r="G79" s="47"/>
      <c r="H79" s="47"/>
      <c r="I79" s="47"/>
      <c r="J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row>
    <row r="80" spans="3:47" s="22" customFormat="1" x14ac:dyDescent="0.2">
      <c r="C80" s="67"/>
      <c r="D80" s="67"/>
      <c r="E80" s="47"/>
      <c r="F80" s="23"/>
      <c r="G80" s="47"/>
      <c r="H80" s="47"/>
      <c r="I80" s="47"/>
      <c r="J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row>
    <row r="81" spans="3:47" s="22" customFormat="1" x14ac:dyDescent="0.2">
      <c r="C81" s="67"/>
      <c r="D81" s="67"/>
      <c r="E81" s="47"/>
      <c r="F81" s="23"/>
      <c r="G81" s="47"/>
      <c r="H81" s="47"/>
      <c r="I81" s="47"/>
      <c r="J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row>
    <row r="82" spans="3:47" s="22" customFormat="1" x14ac:dyDescent="0.2">
      <c r="C82" s="67"/>
      <c r="D82" s="67"/>
      <c r="E82" s="47"/>
      <c r="F82" s="23"/>
      <c r="G82" s="47"/>
      <c r="H82" s="47"/>
      <c r="I82" s="47"/>
      <c r="J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row>
    <row r="83" spans="3:47" s="22" customFormat="1" x14ac:dyDescent="0.2">
      <c r="C83" s="67"/>
      <c r="D83" s="67"/>
      <c r="E83" s="47"/>
      <c r="F83" s="23"/>
      <c r="G83" s="47"/>
      <c r="H83" s="47"/>
      <c r="I83" s="47"/>
      <c r="J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row>
    <row r="84" spans="3:47" s="22" customFormat="1" x14ac:dyDescent="0.2">
      <c r="C84" s="67"/>
      <c r="D84" s="67"/>
      <c r="E84" s="47"/>
      <c r="F84" s="23"/>
      <c r="G84" s="47"/>
      <c r="H84" s="47"/>
      <c r="I84" s="47"/>
      <c r="J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row>
    <row r="85" spans="3:47" s="22" customFormat="1" x14ac:dyDescent="0.2">
      <c r="C85" s="67"/>
      <c r="D85" s="67"/>
      <c r="E85" s="47"/>
      <c r="F85" s="23"/>
      <c r="G85" s="47"/>
      <c r="H85" s="47"/>
      <c r="I85" s="47"/>
      <c r="J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row>
    <row r="86" spans="3:47" s="22" customFormat="1" x14ac:dyDescent="0.2">
      <c r="C86" s="67"/>
      <c r="D86" s="67"/>
      <c r="E86" s="47"/>
      <c r="F86" s="23"/>
      <c r="G86" s="47"/>
      <c r="H86" s="47"/>
      <c r="I86" s="47"/>
      <c r="J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row>
    <row r="87" spans="3:47" s="22" customFormat="1" x14ac:dyDescent="0.2">
      <c r="C87" s="67"/>
      <c r="D87" s="67"/>
      <c r="E87" s="47"/>
      <c r="F87" s="23"/>
      <c r="G87" s="47"/>
      <c r="H87" s="47"/>
      <c r="I87" s="47"/>
      <c r="J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row>
    <row r="88" spans="3:47" s="22" customFormat="1" x14ac:dyDescent="0.2">
      <c r="C88" s="67"/>
      <c r="D88" s="67"/>
      <c r="E88" s="47"/>
      <c r="F88" s="23"/>
      <c r="G88" s="47"/>
      <c r="H88" s="47"/>
      <c r="I88" s="47"/>
      <c r="J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row>
    <row r="89" spans="3:47" s="22" customFormat="1" x14ac:dyDescent="0.2">
      <c r="C89" s="67"/>
      <c r="D89" s="67"/>
      <c r="E89" s="47"/>
      <c r="F89" s="23"/>
      <c r="G89" s="47"/>
      <c r="H89" s="47"/>
      <c r="I89" s="47"/>
      <c r="J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row>
    <row r="90" spans="3:47" s="22" customFormat="1" x14ac:dyDescent="0.2">
      <c r="C90" s="67"/>
      <c r="D90" s="67"/>
      <c r="E90" s="47"/>
      <c r="F90" s="23"/>
      <c r="G90" s="47"/>
      <c r="H90" s="47"/>
      <c r="I90" s="47"/>
      <c r="J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row>
    <row r="91" spans="3:47" s="22" customFormat="1" x14ac:dyDescent="0.2">
      <c r="C91" s="67"/>
      <c r="D91" s="67"/>
      <c r="E91" s="47"/>
      <c r="F91" s="23"/>
      <c r="G91" s="47"/>
      <c r="H91" s="47"/>
      <c r="I91" s="47"/>
      <c r="J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row>
    <row r="92" spans="3:47" s="22" customFormat="1" x14ac:dyDescent="0.2">
      <c r="C92" s="67"/>
      <c r="D92" s="67"/>
      <c r="E92" s="47"/>
      <c r="F92" s="23"/>
      <c r="G92" s="47"/>
      <c r="H92" s="47"/>
      <c r="I92" s="47"/>
      <c r="J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row>
    <row r="93" spans="3:47" s="22" customFormat="1" x14ac:dyDescent="0.2">
      <c r="C93" s="67"/>
      <c r="D93" s="67"/>
      <c r="E93" s="47"/>
      <c r="F93" s="23"/>
      <c r="G93" s="47"/>
      <c r="H93" s="47"/>
      <c r="I93" s="47"/>
      <c r="J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row>
    <row r="94" spans="3:47" s="22" customFormat="1" x14ac:dyDescent="0.2">
      <c r="C94" s="67"/>
      <c r="D94" s="67"/>
      <c r="E94" s="47"/>
      <c r="F94" s="23"/>
      <c r="G94" s="47"/>
      <c r="H94" s="47"/>
      <c r="I94" s="47"/>
      <c r="J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row>
    <row r="95" spans="3:47" s="22" customFormat="1" x14ac:dyDescent="0.2">
      <c r="C95" s="67"/>
      <c r="D95" s="67"/>
      <c r="E95" s="47"/>
      <c r="F95" s="23"/>
      <c r="G95" s="47"/>
      <c r="H95" s="47"/>
      <c r="I95" s="47"/>
      <c r="J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row>
    <row r="96" spans="3:47" s="22" customFormat="1" x14ac:dyDescent="0.2">
      <c r="C96" s="67"/>
      <c r="D96" s="67"/>
      <c r="E96" s="47"/>
      <c r="F96" s="23"/>
      <c r="G96" s="47"/>
      <c r="H96" s="47"/>
      <c r="I96" s="47"/>
      <c r="J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row>
    <row r="97" spans="3:47" s="22" customFormat="1" x14ac:dyDescent="0.2">
      <c r="C97" s="67"/>
      <c r="D97" s="67"/>
      <c r="E97" s="47"/>
      <c r="F97" s="23"/>
      <c r="G97" s="47"/>
      <c r="H97" s="47"/>
      <c r="I97" s="47"/>
      <c r="J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row>
    <row r="98" spans="3:47" s="22" customFormat="1" x14ac:dyDescent="0.2">
      <c r="C98" s="67"/>
      <c r="D98" s="67"/>
      <c r="E98" s="47"/>
      <c r="F98" s="23"/>
      <c r="G98" s="47"/>
      <c r="H98" s="47"/>
      <c r="I98" s="47"/>
      <c r="J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row>
    <row r="99" spans="3:47" s="22" customFormat="1" x14ac:dyDescent="0.2">
      <c r="C99" s="67"/>
      <c r="D99" s="67"/>
      <c r="E99" s="47"/>
      <c r="F99" s="23"/>
      <c r="G99" s="47"/>
      <c r="H99" s="47"/>
      <c r="I99" s="47"/>
      <c r="J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row>
    <row r="100" spans="3:47" s="22" customFormat="1" x14ac:dyDescent="0.2">
      <c r="C100" s="67"/>
      <c r="D100" s="67"/>
      <c r="E100" s="47"/>
      <c r="F100" s="23"/>
      <c r="G100" s="47"/>
      <c r="H100" s="47"/>
      <c r="I100" s="47"/>
      <c r="J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row>
    <row r="101" spans="3:47" s="22" customFormat="1" x14ac:dyDescent="0.2">
      <c r="C101" s="67"/>
      <c r="D101" s="67"/>
      <c r="E101" s="47"/>
      <c r="F101" s="23"/>
      <c r="G101" s="47"/>
      <c r="H101" s="47"/>
      <c r="I101" s="47"/>
      <c r="J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row>
    <row r="102" spans="3:47" s="22" customFormat="1" x14ac:dyDescent="0.2">
      <c r="C102" s="67"/>
      <c r="D102" s="67"/>
      <c r="E102" s="47"/>
      <c r="F102" s="23"/>
      <c r="G102" s="47"/>
      <c r="H102" s="47"/>
      <c r="I102" s="47"/>
      <c r="J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row>
    <row r="103" spans="3:47" s="22" customFormat="1" x14ac:dyDescent="0.2">
      <c r="C103" s="67"/>
      <c r="D103" s="67"/>
      <c r="E103" s="47"/>
      <c r="F103" s="23"/>
      <c r="G103" s="47"/>
      <c r="H103" s="47"/>
      <c r="I103" s="47"/>
      <c r="J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row>
    <row r="104" spans="3:47" s="22" customFormat="1" x14ac:dyDescent="0.2">
      <c r="E104" s="47"/>
      <c r="F104" s="23"/>
      <c r="G104" s="47"/>
      <c r="H104" s="47"/>
      <c r="I104" s="47"/>
      <c r="J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row>
    <row r="105" spans="3:47" s="22" customFormat="1" x14ac:dyDescent="0.2">
      <c r="E105" s="47"/>
      <c r="F105" s="23"/>
      <c r="G105" s="47"/>
      <c r="H105" s="47"/>
      <c r="I105" s="47"/>
      <c r="J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row>
    <row r="106" spans="3:47" s="22" customFormat="1" x14ac:dyDescent="0.2">
      <c r="H106" s="23"/>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row>
    <row r="107" spans="3:47" s="22" customFormat="1" x14ac:dyDescent="0.2">
      <c r="H107" s="23"/>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row>
    <row r="108" spans="3:47" s="22" customFormat="1" x14ac:dyDescent="0.2">
      <c r="H108" s="23"/>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row>
    <row r="109" spans="3:47" s="22" customFormat="1" x14ac:dyDescent="0.2">
      <c r="H109" s="23"/>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row>
    <row r="110" spans="3:47" s="22" customFormat="1" x14ac:dyDescent="0.2">
      <c r="H110" s="23"/>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row>
    <row r="111" spans="3:47" s="22" customFormat="1" x14ac:dyDescent="0.2">
      <c r="H111" s="23"/>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row>
    <row r="112" spans="3:47" s="22" customFormat="1" x14ac:dyDescent="0.2">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row>
    <row r="113" spans="9:47" s="22" customFormat="1" x14ac:dyDescent="0.2">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row>
    <row r="114" spans="9:47" s="22" customFormat="1" x14ac:dyDescent="0.2">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row>
    <row r="115" spans="9:47" s="22" customFormat="1" x14ac:dyDescent="0.2">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row>
    <row r="116" spans="9:47" s="22" customFormat="1" x14ac:dyDescent="0.2">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row>
    <row r="117" spans="9:47" s="22" customFormat="1" x14ac:dyDescent="0.2">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row>
    <row r="118" spans="9:47" s="22" customFormat="1" x14ac:dyDescent="0.2">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row>
    <row r="119" spans="9:47" s="22" customFormat="1" x14ac:dyDescent="0.2">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row>
    <row r="120" spans="9:47" s="22" customFormat="1" x14ac:dyDescent="0.2">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row>
    <row r="121" spans="9:47" s="22" customFormat="1" x14ac:dyDescent="0.2">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row>
    <row r="122" spans="9:47" s="22" customFormat="1" x14ac:dyDescent="0.2">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row>
    <row r="123" spans="9:47" s="22" customFormat="1" x14ac:dyDescent="0.2">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row>
    <row r="124" spans="9:47" s="22" customFormat="1" x14ac:dyDescent="0.2">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row>
    <row r="125" spans="9:47" s="22" customFormat="1" x14ac:dyDescent="0.2">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row>
    <row r="126" spans="9:47" s="22" customFormat="1" x14ac:dyDescent="0.2">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row>
    <row r="127" spans="9:47" s="22" customFormat="1" x14ac:dyDescent="0.2">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row>
    <row r="128" spans="9:47" s="22" customFormat="1" x14ac:dyDescent="0.2">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row>
    <row r="129" spans="9:47" s="22" customFormat="1" x14ac:dyDescent="0.2">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row>
    <row r="130" spans="9:47" s="22" customFormat="1" x14ac:dyDescent="0.2">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row>
    <row r="131" spans="9:47" s="22" customFormat="1" x14ac:dyDescent="0.2">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row>
    <row r="132" spans="9:47" s="22" customFormat="1" x14ac:dyDescent="0.2">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row>
    <row r="133" spans="9:47" s="22" customFormat="1" x14ac:dyDescent="0.2">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row>
    <row r="134" spans="9:47" s="22" customFormat="1" x14ac:dyDescent="0.2">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row>
    <row r="135" spans="9:47" s="22" customFormat="1" x14ac:dyDescent="0.2">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row>
    <row r="136" spans="9:47" s="22" customFormat="1" x14ac:dyDescent="0.2">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row>
    <row r="137" spans="9:47" s="22" customFormat="1" x14ac:dyDescent="0.2">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row>
    <row r="138" spans="9:47" s="22" customFormat="1" x14ac:dyDescent="0.2">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row>
    <row r="139" spans="9:47" s="22" customFormat="1" x14ac:dyDescent="0.2">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row>
    <row r="140" spans="9:47" s="22" customFormat="1" x14ac:dyDescent="0.2">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row>
    <row r="141" spans="9:47" s="22" customFormat="1" x14ac:dyDescent="0.2">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row>
    <row r="142" spans="9:47" s="22" customFormat="1" x14ac:dyDescent="0.2">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row>
    <row r="143" spans="9:47" s="22" customFormat="1" x14ac:dyDescent="0.2">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row>
    <row r="144" spans="9:47" s="22" customFormat="1" x14ac:dyDescent="0.2">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row>
    <row r="145" spans="9:47" s="22" customFormat="1" x14ac:dyDescent="0.2">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row>
    <row r="146" spans="9:47" s="22" customFormat="1" x14ac:dyDescent="0.2">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row>
    <row r="147" spans="9:47" s="22" customFormat="1" x14ac:dyDescent="0.2">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row>
    <row r="148" spans="9:47" s="22" customFormat="1" x14ac:dyDescent="0.2">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row>
    <row r="149" spans="9:47" s="22" customFormat="1" x14ac:dyDescent="0.2">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row>
    <row r="150" spans="9:47" s="22" customFormat="1" x14ac:dyDescent="0.2">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row>
    <row r="151" spans="9:47" s="22" customFormat="1" x14ac:dyDescent="0.2">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row>
    <row r="152" spans="9:47" s="22" customFormat="1" x14ac:dyDescent="0.2">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row>
    <row r="153" spans="9:47" s="22" customFormat="1" x14ac:dyDescent="0.2">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row>
    <row r="154" spans="9:47" s="22" customFormat="1" x14ac:dyDescent="0.2">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row>
    <row r="155" spans="9:47" s="22" customFormat="1" x14ac:dyDescent="0.2">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row>
    <row r="156" spans="9:47" s="22" customFormat="1" x14ac:dyDescent="0.2">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row>
    <row r="157" spans="9:47" s="22" customFormat="1" x14ac:dyDescent="0.2">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row>
    <row r="158" spans="9:47" s="22" customFormat="1" x14ac:dyDescent="0.2">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row>
    <row r="159" spans="9:47" s="22" customFormat="1" x14ac:dyDescent="0.2">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row>
    <row r="160" spans="9:47" s="22" customFormat="1" x14ac:dyDescent="0.2">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row>
    <row r="161" spans="9:47" s="22" customFormat="1" x14ac:dyDescent="0.2">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row>
    <row r="162" spans="9:47" s="22" customFormat="1" x14ac:dyDescent="0.2">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row>
    <row r="163" spans="9:47" s="22" customFormat="1" x14ac:dyDescent="0.2">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row>
    <row r="164" spans="9:47" s="22" customFormat="1" x14ac:dyDescent="0.2">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row>
    <row r="165" spans="9:47" s="22" customFormat="1" x14ac:dyDescent="0.2">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row>
    <row r="166" spans="9:47" s="22" customFormat="1" x14ac:dyDescent="0.2">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row>
    <row r="167" spans="9:47" s="22" customFormat="1" x14ac:dyDescent="0.2">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row>
    <row r="168" spans="9:47" s="22" customFormat="1" x14ac:dyDescent="0.2">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row>
    <row r="169" spans="9:47" s="22" customFormat="1" x14ac:dyDescent="0.2">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row>
    <row r="170" spans="9:47" s="22" customFormat="1" x14ac:dyDescent="0.2">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row>
    <row r="171" spans="9:47" s="22" customFormat="1" x14ac:dyDescent="0.2">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row>
    <row r="172" spans="9:47" s="22" customFormat="1" x14ac:dyDescent="0.2">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row>
    <row r="173" spans="9:47" s="22" customFormat="1" x14ac:dyDescent="0.2">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row>
    <row r="174" spans="9:47" s="22" customFormat="1" x14ac:dyDescent="0.2">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row>
    <row r="175" spans="9:47" s="22" customFormat="1" x14ac:dyDescent="0.2">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row>
    <row r="176" spans="9:47" s="22" customFormat="1" x14ac:dyDescent="0.2">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row>
    <row r="177" spans="9:47" s="22" customFormat="1" x14ac:dyDescent="0.2">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row>
    <row r="178" spans="9:47" s="22" customFormat="1" x14ac:dyDescent="0.2">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row>
  </sheetData>
  <sheetProtection algorithmName="SHA-512" hashValue="O10NGH2v18E/35y6uJCpDamC7sE3QqEnYRullwDwuLFsvWbJXJhF30cl2XLXYz8sjyNB/F/bwRTOzQxcV/oA5A==" saltValue="/kMoWvSfO5EHxbRSa+we0g==" spinCount="100000" sheet="1" objects="1" scenarios="1" formatCells="0"/>
  <conditionalFormatting sqref="C21">
    <cfRule type="expression" dxfId="0" priority="4">
      <formula>F21&lt;&gt;""</formula>
    </cfRule>
  </conditionalFormatting>
  <hyperlinks>
    <hyperlink ref="F17" location="'Дополнительные услуги'!A15" display="Щелкните для перехода в настройки"/>
    <hyperlink ref="F16" location="'Дополнительные услуги'!A2" display="Щелкните для перехода в настройки"/>
  </hyperlinks>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errorTitle="Ошибка" error="Выберите значение из списка или оставьте поле" promptTitle="Этапы закупки" prompt="Весь класс сразу заполнить тяжело, а значит оборудование можно покупать постепенно">
          <x14:formula1>
            <xm:f>Вспомогательный!$A$23:$A$25</xm:f>
          </x14:formula1>
          <xm:sqref>C21</xm:sqref>
        </x14:dataValidation>
        <x14:dataValidation type="list" allowBlank="1" showInputMessage="1" showErrorMessage="1" errorTitle="Ошибка" error="Допустимые значения: Да, Нет, Пусто">
          <x14:formula1>
            <xm:f>Вспомогательный!$I$16:$I$17</xm:f>
          </x14:formula1>
          <xm:sqref>C16:C17</xm:sqref>
        </x14:dataValidation>
        <x14:dataValidation type="list" allowBlank="1" showInputMessage="1" promptTitle="Выберите систему налогообложения">
          <x14:formula1>
            <xm:f>Вспомогательный!$G$16:$G$19</xm:f>
          </x14:formula1>
          <xm:sqref>C41</xm:sqref>
        </x14:dataValidation>
        <x14:dataValidation type="list" allowBlank="1" showInputMessage="1" promptTitle="База для налогов с ЗП" prompt="В зависимости от того, как планируете работать - можете выбрать базу для начислений налогов_x000a_- 0 - налоги не считаются (если нет сотр.)_x000a_- Полный - налоги считаются в полном объеме_x000a_- Ввести базу - введите свою сумму, от которой будут посчитаны налоги">
          <x14:formula1>
            <xm:f>Вспомогательный!$P$16:$P$18</xm:f>
          </x14:formula1>
          <xm:sqref>C43</xm:sqref>
        </x14:dataValidation>
        <x14:dataValidation type="list" allowBlank="1" showInputMessage="1" showErrorMessage="1" promptTitle="Значение по умолчанию" prompt="Поле можно оставить пустым и проставить свои значения в полях ниже">
          <x14:formula1>
            <xm:f>Вспомогательный!$E$3:$E$7</xm:f>
          </x14:formula1>
          <xm:sqref>C8</xm:sqref>
        </x14:dataValidation>
        <x14:dataValidation type="list" allowBlank="1" showInputMessage="1" promptTitle="База для налогов с ЗП">
          <x14:formula1>
            <xm:f>Вспомогательный!$P$16:$P$18</xm:f>
          </x14:formula1>
          <xm:sqref>C42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2:BM35"/>
  <sheetViews>
    <sheetView zoomScaleNormal="100" workbookViewId="0"/>
  </sheetViews>
  <sheetFormatPr defaultRowHeight="15" x14ac:dyDescent="0.25"/>
  <cols>
    <col min="1" max="1" width="1.5703125" style="7" customWidth="1"/>
    <col min="2" max="2" width="53" style="7" customWidth="1"/>
    <col min="3" max="3" width="15.7109375" style="7" customWidth="1"/>
    <col min="4" max="4" width="18.140625" style="7" customWidth="1"/>
    <col min="5" max="5" width="4.140625" style="7" customWidth="1"/>
    <col min="6" max="6" width="13.7109375" style="7" customWidth="1"/>
    <col min="7" max="8" width="9.140625" style="7"/>
    <col min="9" max="10" width="4.42578125" style="7" customWidth="1"/>
    <col min="11" max="55" width="9.140625" style="7"/>
    <col min="56" max="56" width="13.7109375" style="7" customWidth="1"/>
    <col min="57" max="16384" width="9.140625" style="7"/>
  </cols>
  <sheetData>
    <row r="2" spans="1:65" s="6" customFormat="1" ht="36" customHeight="1" x14ac:dyDescent="0.35">
      <c r="A2" s="1" t="s">
        <v>207</v>
      </c>
      <c r="B2" s="2"/>
      <c r="C2" s="3"/>
      <c r="D2" s="4"/>
      <c r="E2" s="4"/>
      <c r="F2" s="4"/>
      <c r="G2" s="4"/>
      <c r="H2" s="4"/>
      <c r="I2" s="4"/>
      <c r="J2" s="4"/>
      <c r="K2" s="4"/>
      <c r="L2" s="3"/>
      <c r="M2" s="3"/>
      <c r="N2" s="5"/>
      <c r="O2" s="5"/>
      <c r="P2" s="5"/>
      <c r="Q2" s="5"/>
      <c r="R2" s="2"/>
      <c r="S2" s="2"/>
    </row>
    <row r="3" spans="1:65" s="6" customFormat="1" ht="15" customHeight="1" x14ac:dyDescent="0.25">
      <c r="C3" s="7"/>
      <c r="D3" s="7"/>
      <c r="E3" s="7"/>
      <c r="F3" s="7"/>
      <c r="G3" s="7"/>
      <c r="H3" s="7"/>
      <c r="I3" s="7"/>
      <c r="J3" s="7"/>
      <c r="K3" s="7"/>
      <c r="L3" s="7"/>
      <c r="M3" s="7"/>
      <c r="N3" s="7"/>
      <c r="O3" s="80"/>
      <c r="P3" s="80"/>
      <c r="Q3" s="80"/>
      <c r="R3" s="80"/>
    </row>
    <row r="4" spans="1:65" s="9" customFormat="1" ht="18.75" x14ac:dyDescent="0.3">
      <c r="B4" s="134" t="s">
        <v>56</v>
      </c>
      <c r="F4" s="135"/>
    </row>
    <row r="5" spans="1:65" ht="47.25" customHeight="1" x14ac:dyDescent="0.25">
      <c r="B5" s="197" t="s">
        <v>179</v>
      </c>
      <c r="C5" s="197"/>
      <c r="D5" s="197"/>
      <c r="E5" s="197"/>
      <c r="F5" s="197"/>
      <c r="G5" s="197"/>
      <c r="H5" s="197"/>
      <c r="I5" s="197"/>
      <c r="J5" s="197"/>
      <c r="BA5" s="190"/>
      <c r="BB5" s="190"/>
      <c r="BC5" s="190"/>
      <c r="BD5" s="190"/>
      <c r="BE5" s="190"/>
      <c r="BF5" s="190"/>
      <c r="BG5" s="190"/>
      <c r="BH5" s="190"/>
      <c r="BI5" s="190"/>
      <c r="BJ5" s="190"/>
      <c r="BK5" s="190"/>
      <c r="BL5" s="190"/>
      <c r="BM5" s="190"/>
    </row>
    <row r="6" spans="1:65" ht="21.75" customHeight="1" x14ac:dyDescent="0.25">
      <c r="B6" s="198" t="str">
        <f>IF(Вводные!$BG$16=Вспомогательный!$I$17,"Внимание! Расчет мастер-классов сейчас отключен, включите опцию на листе 'Вводные'","")</f>
        <v/>
      </c>
      <c r="C6" s="198"/>
      <c r="D6" s="198"/>
      <c r="E6" s="198"/>
      <c r="F6" s="198"/>
      <c r="G6" s="198"/>
      <c r="H6" s="198"/>
      <c r="I6" s="198"/>
      <c r="J6" s="198"/>
      <c r="BA6" s="190"/>
      <c r="BB6" s="190"/>
      <c r="BC6" s="190"/>
      <c r="BD6" s="190"/>
      <c r="BE6" s="190"/>
      <c r="BF6" s="190"/>
      <c r="BG6" s="190"/>
      <c r="BH6" s="190"/>
      <c r="BI6" s="190"/>
      <c r="BJ6" s="190"/>
      <c r="BK6" s="190"/>
      <c r="BL6" s="190"/>
      <c r="BM6" s="190"/>
    </row>
    <row r="7" spans="1:65" ht="38.25" customHeight="1" x14ac:dyDescent="0.25">
      <c r="B7" s="83" t="s">
        <v>6</v>
      </c>
      <c r="C7" s="193" t="s">
        <v>57</v>
      </c>
      <c r="D7" s="193" t="s">
        <v>110</v>
      </c>
      <c r="E7" s="193"/>
      <c r="F7" s="193" t="s">
        <v>133</v>
      </c>
      <c r="G7" s="84"/>
      <c r="H7" s="84"/>
      <c r="I7" s="84"/>
      <c r="J7" s="84"/>
      <c r="BA7" s="190"/>
      <c r="BB7" s="190"/>
      <c r="BC7" s="190" t="str">
        <f>Вводные!BG8</f>
        <v>Максимальный</v>
      </c>
      <c r="BD7" s="190"/>
      <c r="BE7" s="190"/>
      <c r="BF7" s="190"/>
      <c r="BG7" s="190"/>
      <c r="BH7" s="190"/>
      <c r="BI7" s="190"/>
      <c r="BJ7" s="190"/>
      <c r="BK7" s="190"/>
      <c r="BL7" s="190"/>
      <c r="BM7" s="190"/>
    </row>
    <row r="8" spans="1:65" x14ac:dyDescent="0.25">
      <c r="B8" s="85" t="s">
        <v>280</v>
      </c>
      <c r="C8" s="90"/>
      <c r="D8" s="86">
        <f>IF(ISERROR(VLOOKUP($BC$7,Вспомогательный!$E$2:$AO$7,$BC8,FALSE))=TRUE,"",IF(VLOOKUP($BC$7,Вспомогательный!$E$2:$AO$7,$BC8,FALSE)=0,"",VLOOKUP($BC$7,Вспомогательный!$E$2:$AO$7,$BC8,FALSE)))</f>
        <v>32</v>
      </c>
      <c r="E8" s="25" t="s">
        <v>188</v>
      </c>
      <c r="F8" s="87" t="str">
        <f>IF(AND(C8&lt;&gt;"",C8&lt;&gt;BD8),"В столбце 'Ваше значение' введено недопустимое число, будет использовано значение ="  &amp; BD8,"")</f>
        <v/>
      </c>
      <c r="BA8" s="190"/>
      <c r="BB8" s="190"/>
      <c r="BC8" s="190">
        <v>26</v>
      </c>
      <c r="BD8" s="190">
        <f>IF(ISNUMBER(IF(ISNUMBER(C8),IF(AND(C8&gt;=0,C8&lt;50),C8,D8),D8))=TRUE,IF(ISNUMBER(C8),IF(AND(C8&gt;=0,C8&lt;50),C8,D8),D8),0)</f>
        <v>32</v>
      </c>
      <c r="BE8" s="190"/>
      <c r="BF8" s="190"/>
      <c r="BG8" s="190"/>
      <c r="BH8" s="190"/>
      <c r="BI8" s="190"/>
      <c r="BJ8" s="190"/>
      <c r="BK8" s="190"/>
      <c r="BL8" s="190"/>
      <c r="BM8" s="190"/>
    </row>
    <row r="9" spans="1:65" x14ac:dyDescent="0.25">
      <c r="B9" s="85" t="s">
        <v>281</v>
      </c>
      <c r="C9" s="90"/>
      <c r="D9" s="86">
        <f>IF(ISERROR(VLOOKUP($BC$7,Вспомогательный!$E$2:$AO$7,$BC9,FALSE))=TRUE,"",IF(VLOOKUP($BC$7,Вспомогательный!$E$2:$AO$7,$BC9,FALSE)=0,"",VLOOKUP($BC$7,Вспомогательный!$E$2:$AO$7,$BC9,FALSE)))</f>
        <v>1000</v>
      </c>
      <c r="E9" s="13" t="s">
        <v>188</v>
      </c>
      <c r="F9" s="87" t="str">
        <f t="shared" ref="F9:F13" si="0">IF(AND(C9&lt;&gt;"",C9&lt;&gt;BD9),"В столбце 'Ваше значение' введено недопустимое число, будет использовано значение ="  &amp; BD9,"")</f>
        <v/>
      </c>
      <c r="BA9" s="190"/>
      <c r="BB9" s="190"/>
      <c r="BC9" s="190">
        <v>27</v>
      </c>
      <c r="BD9" s="190">
        <f>IF(ISNUMBER(IF(ISNUMBER(C9),IF(AND(C9&gt;=0,C9&lt;3000),C9,D9),D9))=TRUE,IF(ISNUMBER(C9),IF(AND(C9&gt;=0,C9&lt;3000),C9,D9),D9),0)</f>
        <v>1000</v>
      </c>
      <c r="BE9" s="190"/>
      <c r="BF9" s="190"/>
      <c r="BG9" s="190"/>
      <c r="BH9" s="190"/>
      <c r="BI9" s="190"/>
      <c r="BJ9" s="190"/>
      <c r="BK9" s="190"/>
      <c r="BL9" s="190"/>
      <c r="BM9" s="190"/>
    </row>
    <row r="10" spans="1:65" x14ac:dyDescent="0.25">
      <c r="B10" s="7" t="s">
        <v>180</v>
      </c>
      <c r="C10" s="90"/>
      <c r="D10" s="86">
        <f>IF(ISERROR(VLOOKUP($BC$7,Вспомогательный!$E$2:$AO$7,$BC10,FALSE))=TRUE,"",IF(VLOOKUP($BC$7,Вспомогательный!$E$2:$AO$7,$BC10,FALSE)=0,"",VLOOKUP($BC$7,Вспомогательный!$E$2:$AO$7,$BC10,FALSE)))</f>
        <v>9</v>
      </c>
      <c r="E10" s="25"/>
      <c r="F10" s="87" t="str">
        <f t="shared" si="0"/>
        <v/>
      </c>
      <c r="BA10" s="190"/>
      <c r="BB10" s="190"/>
      <c r="BC10" s="190">
        <v>28</v>
      </c>
      <c r="BD10" s="190">
        <f>IF(ISNUMBER(IF(ISNUMBER(C10),IF(AND(C10&gt;=0,C10&lt;20),C10,D10),D10))=TRUE,IF(ISNUMBER(C10),IF(AND(C10&gt;=0,C10&lt;20),C10,D10),D10),0)</f>
        <v>9</v>
      </c>
      <c r="BE10" s="190"/>
      <c r="BF10" s="190"/>
      <c r="BG10" s="190"/>
      <c r="BH10" s="190"/>
      <c r="BI10" s="190"/>
      <c r="BJ10" s="190"/>
      <c r="BK10" s="190"/>
      <c r="BL10" s="190"/>
      <c r="BM10" s="190"/>
    </row>
    <row r="11" spans="1:65" x14ac:dyDescent="0.25">
      <c r="B11" s="7" t="s">
        <v>149</v>
      </c>
      <c r="C11" s="90"/>
      <c r="D11" s="86">
        <f>IF(ISERROR(VLOOKUP($BC$7,Вспомогательный!$E$2:$AO$7,$BC11,FALSE))=TRUE,"",IF(VLOOKUP($BC$7,Вспомогательный!$E$2:$AO$7,$BC11,FALSE)=0,"",VLOOKUP($BC$7,Вспомогательный!$E$2:$AO$7,$BC11,FALSE)))</f>
        <v>300</v>
      </c>
      <c r="E11" s="25"/>
      <c r="F11" s="87" t="str">
        <f t="shared" si="0"/>
        <v/>
      </c>
      <c r="BA11" s="190"/>
      <c r="BB11" s="190"/>
      <c r="BC11" s="190">
        <v>29</v>
      </c>
      <c r="BD11" s="190">
        <f>IF(ISNUMBER(IF(ISNUMBER(C11),IF(AND(C11&gt;=0,C11&lt;10000),C11,D11),D11))=TRUE,IF(ISNUMBER(C11),IF(AND(C11&gt;=0,C11&lt;10000),C11,D11),D11),0)</f>
        <v>300</v>
      </c>
      <c r="BE11" s="190"/>
      <c r="BF11" s="190"/>
      <c r="BG11" s="190"/>
      <c r="BH11" s="190"/>
      <c r="BI11" s="190"/>
      <c r="BJ11" s="190"/>
      <c r="BK11" s="190"/>
      <c r="BL11" s="190"/>
      <c r="BM11" s="190"/>
    </row>
    <row r="12" spans="1:65" x14ac:dyDescent="0.25">
      <c r="B12" s="7" t="s">
        <v>54</v>
      </c>
      <c r="C12" s="90"/>
      <c r="D12" s="86">
        <f>IF(ISERROR(VLOOKUP($BC$7,Вспомогательный!$E$2:$AO$7,$BC12,FALSE))=TRUE,"",IF(VLOOKUP($BC$7,Вспомогательный!$E$2:$AO$7,$BC12,FALSE)=0,"",VLOOKUP($BC$7,Вспомогательный!$E$2:$AO$7,$BC12,FALSE)))</f>
        <v>1500</v>
      </c>
      <c r="E12" s="25"/>
      <c r="F12" s="87" t="str">
        <f t="shared" si="0"/>
        <v/>
      </c>
      <c r="BA12" s="190"/>
      <c r="BB12" s="190"/>
      <c r="BC12" s="190">
        <v>30</v>
      </c>
      <c r="BD12" s="190">
        <f>IF(ISNUMBER(IF(ISNUMBER(C12),IF(AND(C12&gt;=0,C12&lt;4000),C12,D12),D12))=TRUE,IF(ISNUMBER(C12),IF(AND(C12&gt;=0,C12&lt;4000),C12,D12),D12),0)</f>
        <v>1500</v>
      </c>
      <c r="BE12" s="190"/>
      <c r="BF12" s="190"/>
      <c r="BG12" s="190"/>
      <c r="BH12" s="190"/>
      <c r="BI12" s="190"/>
      <c r="BJ12" s="190"/>
      <c r="BK12" s="190"/>
      <c r="BL12" s="190"/>
      <c r="BM12" s="190"/>
    </row>
    <row r="13" spans="1:65" ht="15.75" thickBot="1" x14ac:dyDescent="0.3">
      <c r="B13" s="85" t="s">
        <v>132</v>
      </c>
      <c r="C13" s="90"/>
      <c r="D13" s="86">
        <f>IF(ISERROR(VLOOKUP($BC$7,Вспомогательный!$E$2:$AO$7,$BC13,FALSE))=TRUE,"",IF(VLOOKUP($BC$7,Вспомогательный!$E$2:$AO$7,$BC13,FALSE)=0,"",VLOOKUP($BC$7,Вспомогательный!$E$2:$AO$7,$BC13,FALSE)))</f>
        <v>3000</v>
      </c>
      <c r="E13" s="25" t="s">
        <v>188</v>
      </c>
      <c r="F13" s="87" t="str">
        <f t="shared" si="0"/>
        <v/>
      </c>
      <c r="BA13" s="190"/>
      <c r="BB13" s="190"/>
      <c r="BC13" s="190">
        <v>31</v>
      </c>
      <c r="BD13" s="190">
        <f>IF(ISNUMBER(IF(ISNUMBER(C13),IF(AND(C13&gt;=0,C13&lt;10000),C13,D13),D13))=TRUE,IF(ISNUMBER(C13),IF(AND(C13&gt;=0,C13&lt;10000),C13,D13),D13),0)</f>
        <v>3000</v>
      </c>
      <c r="BE13" s="190"/>
      <c r="BF13" s="190"/>
      <c r="BG13" s="190"/>
      <c r="BH13" s="190"/>
      <c r="BI13" s="190"/>
      <c r="BJ13" s="190"/>
      <c r="BK13" s="190"/>
      <c r="BL13" s="190"/>
      <c r="BM13" s="190"/>
    </row>
    <row r="14" spans="1:65" ht="15.75" thickTop="1" x14ac:dyDescent="0.25">
      <c r="B14" s="88" t="s">
        <v>152</v>
      </c>
      <c r="C14" s="89" t="str">
        <f>IF(BD14&lt;&gt;D14,BD14,"")</f>
        <v/>
      </c>
      <c r="D14" s="89">
        <f>D8*D9*D10-D11*D10*D8-D12*D8-D13</f>
        <v>150600</v>
      </c>
      <c r="E14" s="25" t="s">
        <v>188</v>
      </c>
      <c r="F14" s="87" t="str">
        <f>IF(AND(SUM(C14:D14)&gt;0,B6&lt;&gt;""),"Внимание, сейчас расчет отключен (на листе 'Вводные'), эта сумма не будет включена в финансовую модель","")</f>
        <v/>
      </c>
      <c r="BA14" s="190"/>
      <c r="BB14" s="190"/>
      <c r="BC14" s="190"/>
      <c r="BD14" s="210">
        <f>BD8*BD9*BD10-BD11*BD10*BD8-BD12*BD8-BD13</f>
        <v>150600</v>
      </c>
      <c r="BE14" s="190"/>
      <c r="BF14" s="190"/>
      <c r="BG14" s="190"/>
      <c r="BH14" s="190"/>
      <c r="BI14" s="190"/>
      <c r="BJ14" s="190"/>
      <c r="BK14" s="190"/>
      <c r="BL14" s="190"/>
      <c r="BM14" s="190"/>
    </row>
    <row r="15" spans="1:65" x14ac:dyDescent="0.25">
      <c r="B15" s="85"/>
      <c r="BA15" s="190"/>
      <c r="BB15" s="190"/>
      <c r="BC15" s="190"/>
      <c r="BD15" s="190"/>
      <c r="BE15" s="190"/>
      <c r="BF15" s="190"/>
      <c r="BG15" s="190"/>
      <c r="BH15" s="190"/>
      <c r="BI15" s="190"/>
      <c r="BJ15" s="190"/>
      <c r="BK15" s="190"/>
      <c r="BL15" s="190"/>
      <c r="BM15" s="190"/>
    </row>
    <row r="17" spans="2:65" s="9" customFormat="1" ht="18.75" x14ac:dyDescent="0.3">
      <c r="B17" s="134" t="s">
        <v>52</v>
      </c>
      <c r="F17" s="135"/>
    </row>
    <row r="18" spans="2:65" ht="33.75" customHeight="1" x14ac:dyDescent="0.25">
      <c r="B18" s="197" t="s">
        <v>55</v>
      </c>
      <c r="C18" s="197"/>
      <c r="D18" s="197"/>
      <c r="E18" s="197"/>
      <c r="F18" s="197"/>
      <c r="G18" s="197"/>
      <c r="H18" s="197"/>
      <c r="I18" s="197"/>
      <c r="J18" s="197"/>
    </row>
    <row r="19" spans="2:65" ht="27" customHeight="1" x14ac:dyDescent="0.25">
      <c r="B19" s="198" t="str">
        <f>IF(Вводные!$BG$17=Вспомогательный!$I$17,"Внимание! Расчет лагеря сейчас отключен, включите опцию на листе 'Данные'","")</f>
        <v/>
      </c>
      <c r="C19" s="198"/>
      <c r="D19" s="198"/>
      <c r="E19" s="198"/>
      <c r="F19" s="198"/>
      <c r="G19" s="198"/>
      <c r="H19" s="198"/>
      <c r="I19" s="198"/>
      <c r="J19" s="198"/>
      <c r="BA19" s="190"/>
      <c r="BB19" s="190"/>
      <c r="BC19" s="190"/>
      <c r="BD19" s="190"/>
      <c r="BE19" s="190"/>
      <c r="BF19" s="190"/>
      <c r="BG19" s="190"/>
      <c r="BH19" s="190"/>
      <c r="BI19" s="190"/>
      <c r="BJ19" s="190"/>
      <c r="BK19" s="190"/>
      <c r="BL19" s="190"/>
      <c r="BM19" s="190"/>
    </row>
    <row r="20" spans="2:65" ht="30" x14ac:dyDescent="0.25">
      <c r="B20" s="193" t="s">
        <v>6</v>
      </c>
      <c r="C20" s="193" t="s">
        <v>57</v>
      </c>
      <c r="D20" s="83" t="s">
        <v>110</v>
      </c>
      <c r="E20" s="83"/>
      <c r="F20" s="83" t="s">
        <v>133</v>
      </c>
      <c r="BA20" s="190"/>
      <c r="BB20" s="190"/>
      <c r="BC20" s="190"/>
      <c r="BD20" s="190"/>
      <c r="BE20" s="190"/>
      <c r="BF20" s="190"/>
      <c r="BG20" s="190"/>
      <c r="BH20" s="190"/>
      <c r="BI20" s="190"/>
      <c r="BJ20" s="190"/>
      <c r="BK20" s="190"/>
      <c r="BL20" s="190"/>
      <c r="BM20" s="190"/>
    </row>
    <row r="21" spans="2:65" x14ac:dyDescent="0.25">
      <c r="B21" s="7" t="s">
        <v>140</v>
      </c>
      <c r="C21" s="91"/>
      <c r="D21" s="86">
        <f>IF(ISERROR(VLOOKUP($BC$7,Вспомогательный!$E$2:$BH$7,$BC21,FALSE))=TRUE,"",IF(VLOOKUP($BC$7,Вспомогательный!$E$2:$BH$7,$BC21,FALSE)=0,"",VLOOKUP($BC$7,Вспомогательный!$E$2:$BH$7,$BC21,FALSE)))</f>
        <v>25000</v>
      </c>
      <c r="E21" s="25"/>
      <c r="F21" s="87" t="str">
        <f>IF(AND(C21&lt;&gt;"",C21&lt;&gt;BD21),"В столбце 'Ваше значение' введено недопустимое число, будет использовано значение ="  &amp; BD21,"")</f>
        <v/>
      </c>
      <c r="BA21" s="190"/>
      <c r="BB21" s="190"/>
      <c r="BC21" s="190">
        <v>40</v>
      </c>
      <c r="BD21" s="190">
        <f>IF(ISNUMBER(IF(ISNUMBER(C21),IF(AND(C21&gt;=0,C21&lt;=50000),C21,D21),D21))=TRUE,IF(ISNUMBER(C21),IF(AND(C21&gt;=0,C21&lt;50000),C21,D21),D21),0)</f>
        <v>25000</v>
      </c>
      <c r="BE21" s="190"/>
      <c r="BF21" s="190"/>
      <c r="BG21" s="190"/>
      <c r="BH21" s="190"/>
      <c r="BI21" s="190"/>
      <c r="BJ21" s="190"/>
      <c r="BK21" s="190"/>
      <c r="BL21" s="190"/>
      <c r="BM21" s="190"/>
    </row>
    <row r="22" spans="2:65" x14ac:dyDescent="0.25">
      <c r="B22" s="85" t="s">
        <v>282</v>
      </c>
      <c r="C22" s="91"/>
      <c r="D22" s="86">
        <f>IF(ISERROR(VLOOKUP($BC$7,Вспомогательный!$E$2:$BH$7,$BC22,FALSE))=TRUE,"",IF(VLOOKUP($BC$7,Вспомогательный!$E$2:$BH$7,$BC22,FALSE)=0,"",VLOOKUP($BC$7,Вспомогательный!$E$2:$BH$7,$BC22,FALSE)))</f>
        <v>9</v>
      </c>
      <c r="E22" s="13" t="s">
        <v>188</v>
      </c>
      <c r="F22" s="87" t="str">
        <f t="shared" ref="F22:F30" si="1">IF(AND(C22&lt;&gt;"",C22&lt;&gt;BD22),"В столбце 'Ваше значение' введено недопустимое число, будет использовано значение ="  &amp; BD22,"")</f>
        <v/>
      </c>
      <c r="BA22" s="190"/>
      <c r="BB22" s="190"/>
      <c r="BC22" s="190">
        <v>41</v>
      </c>
      <c r="BD22" s="190">
        <f>IF(ISNUMBER(IF(ISNUMBER(C22),IF(AND(C22&gt;=0,C22&lt;=40),C22,D22),D22))=TRUE,IF(ISNUMBER(C22),IF(AND(C22&gt;=0,C22&lt;40),C22,D22),D22),0)</f>
        <v>9</v>
      </c>
      <c r="BE22" s="190"/>
      <c r="BF22" s="190"/>
      <c r="BG22" s="190"/>
      <c r="BH22" s="190"/>
      <c r="BI22" s="190"/>
      <c r="BJ22" s="190"/>
      <c r="BK22" s="190"/>
      <c r="BL22" s="190"/>
      <c r="BM22" s="190"/>
    </row>
    <row r="23" spans="2:65" x14ac:dyDescent="0.25">
      <c r="B23" s="85" t="s">
        <v>283</v>
      </c>
      <c r="C23" s="91"/>
      <c r="D23" s="86">
        <f>IF(ISERROR(VLOOKUP($BC$7,Вспомогательный!$E$2:$BH$7,$BC23,FALSE))=TRUE,"",IF(VLOOKUP($BC$7,Вспомогательный!$E$2:$BH$7,$BC23,FALSE)=0,"",VLOOKUP($BC$7,Вспомогательный!$E$2:$BH$7,$BC23,FALSE)))</f>
        <v>4</v>
      </c>
      <c r="E23" s="13" t="s">
        <v>188</v>
      </c>
      <c r="F23" s="87" t="str">
        <f t="shared" si="1"/>
        <v/>
      </c>
      <c r="BA23" s="190"/>
      <c r="BB23" s="190"/>
      <c r="BC23" s="190">
        <v>42</v>
      </c>
      <c r="BD23" s="190">
        <f>IF(ISNUMBER(IF(ISNUMBER(C23),IF(AND(C23&gt;=0,C23&lt;=12),C23,D23),D23))=TRUE,IF(ISNUMBER(C23),IF(AND(C23&gt;=0,C23&lt;=12),C23,D23),D23),0)</f>
        <v>4</v>
      </c>
      <c r="BE23" s="190"/>
      <c r="BF23" s="190"/>
      <c r="BG23" s="190"/>
      <c r="BH23" s="190"/>
      <c r="BI23" s="190"/>
      <c r="BJ23" s="190"/>
      <c r="BK23" s="190"/>
      <c r="BL23" s="190"/>
      <c r="BM23" s="190"/>
    </row>
    <row r="24" spans="2:65" x14ac:dyDescent="0.25">
      <c r="B24" s="85" t="s">
        <v>165</v>
      </c>
      <c r="C24" s="91"/>
      <c r="D24" s="86">
        <f>IF(ISERROR(VLOOKUP($BC$7,Вспомогательный!$E$2:$BH$7,$BC24,FALSE))=TRUE,"",IF(VLOOKUP($BC$7,Вспомогательный!$E$2:$BH$7,$BC24,FALSE)=0,"",VLOOKUP($BC$7,Вспомогательный!$E$2:$BH$7,$BC24,FALSE)))</f>
        <v>10000</v>
      </c>
      <c r="E24" s="25"/>
      <c r="F24" s="87" t="str">
        <f t="shared" si="1"/>
        <v/>
      </c>
      <c r="BA24" s="190"/>
      <c r="BB24" s="190"/>
      <c r="BC24" s="190">
        <v>49</v>
      </c>
      <c r="BD24" s="190">
        <f>IF(ISNUMBER(IF(ISNUMBER(C24),IF(AND(C24&gt;=0,C24&lt;=100000),C24,D24),D24))=TRUE,IF(ISNUMBER(C24),IF(AND(C24&gt;=0,C24&lt;=100000),C24,D24),D24),0)</f>
        <v>10000</v>
      </c>
      <c r="BE24" s="190"/>
      <c r="BF24" s="190"/>
      <c r="BG24" s="190"/>
      <c r="BH24" s="190"/>
      <c r="BI24" s="190"/>
      <c r="BJ24" s="190"/>
      <c r="BK24" s="190"/>
      <c r="BL24" s="190"/>
      <c r="BM24" s="190"/>
    </row>
    <row r="25" spans="2:65" x14ac:dyDescent="0.25">
      <c r="B25" s="85" t="s">
        <v>284</v>
      </c>
      <c r="C25" s="91"/>
      <c r="D25" s="86">
        <f>IF(ISERROR(VLOOKUP($BC$7,Вспомогательный!$E$2:$BH$7,$BC25,FALSE))=TRUE,"",IF(VLOOKUP($BC$7,Вспомогательный!$E$2:$BH$7,$BC25,FALSE)=0,"",VLOOKUP($BC$7,Вспомогательный!$E$2:$BH$7,$BC25,FALSE)))</f>
        <v>400</v>
      </c>
      <c r="E25" s="25" t="s">
        <v>188</v>
      </c>
      <c r="F25" s="87" t="str">
        <f t="shared" si="1"/>
        <v/>
      </c>
      <c r="BA25" s="190"/>
      <c r="BB25" s="190"/>
      <c r="BC25" s="190">
        <v>43</v>
      </c>
      <c r="BD25" s="190">
        <f>IF(ISNUMBER(IF(ISNUMBER(C25),IF(AND(C25&gt;=0,C25&lt;=1200),C25,D25),D25))=TRUE,IF(ISNUMBER(C25),IF(AND(C25&gt;=0,C25&lt;=1200),C25,D25),D25),0)</f>
        <v>400</v>
      </c>
      <c r="BE25" s="190"/>
      <c r="BF25" s="190"/>
      <c r="BG25" s="190"/>
      <c r="BH25" s="190"/>
      <c r="BI25" s="190"/>
      <c r="BJ25" s="190"/>
      <c r="BK25" s="190"/>
      <c r="BL25" s="190"/>
      <c r="BM25" s="190"/>
    </row>
    <row r="26" spans="2:65" x14ac:dyDescent="0.25">
      <c r="B26" s="85" t="s">
        <v>285</v>
      </c>
      <c r="C26" s="91"/>
      <c r="D26" s="86">
        <f>IF(ISERROR(VLOOKUP($BC$7,Вспомогательный!$E$2:$BH$7,$BC26,FALSE))=TRUE,"",IF(VLOOKUP($BC$7,Вспомогательный!$E$2:$BH$7,$BC26,FALSE)=0,"",VLOOKUP($BC$7,Вспомогательный!$E$2:$BH$7,$BC26,FALSE)))</f>
        <v>12000</v>
      </c>
      <c r="E26" s="13" t="s">
        <v>188</v>
      </c>
      <c r="F26" s="87" t="str">
        <f t="shared" si="1"/>
        <v/>
      </c>
      <c r="BA26" s="190"/>
      <c r="BB26" s="190"/>
      <c r="BC26" s="190">
        <v>44</v>
      </c>
      <c r="BD26" s="190">
        <f>IF(ISNUMBER(IF(ISNUMBER(C26),IF(AND(C26&gt;=0,C26&lt;=50000),C26,D26),D26))=TRUE,IF(ISNUMBER(C26),IF(AND(C26&gt;=0,C26&lt;=50000),C26,D26),D26),0)</f>
        <v>12000</v>
      </c>
      <c r="BE26" s="190"/>
      <c r="BF26" s="190"/>
      <c r="BG26" s="190"/>
      <c r="BH26" s="190"/>
      <c r="BI26" s="190"/>
      <c r="BJ26" s="190"/>
      <c r="BK26" s="190"/>
      <c r="BL26" s="190"/>
      <c r="BM26" s="190"/>
    </row>
    <row r="27" spans="2:65" x14ac:dyDescent="0.25">
      <c r="B27" s="85" t="s">
        <v>144</v>
      </c>
      <c r="C27" s="91"/>
      <c r="D27" s="86">
        <f>IF(ISERROR(VLOOKUP($BC$7,Вспомогательный!$E$2:$BH$7,$BC27,FALSE))=TRUE,"",IF(VLOOKUP($BC$7,Вспомогательный!$E$2:$BH$7,$BC27,FALSE)=0,"",VLOOKUP($BC$7,Вспомогательный!$E$2:$BH$7,$BC27,FALSE)))</f>
        <v>35000</v>
      </c>
      <c r="E27" s="25"/>
      <c r="F27" s="87" t="str">
        <f t="shared" si="1"/>
        <v/>
      </c>
      <c r="BA27" s="190"/>
      <c r="BB27" s="190"/>
      <c r="BC27" s="190">
        <v>45</v>
      </c>
      <c r="BD27" s="190">
        <f>IF(ISNUMBER(IF(ISNUMBER(C27),IF(AND(C27&gt;=0,C27&lt;=100000),C27,D27),D27))=TRUE,IF(ISNUMBER(C27),IF(AND(C27&gt;=0,C27&lt;=100000),C27,D27),D27),0)</f>
        <v>35000</v>
      </c>
      <c r="BE27" s="190"/>
      <c r="BF27" s="190"/>
      <c r="BG27" s="190"/>
      <c r="BH27" s="190"/>
      <c r="BI27" s="190"/>
      <c r="BJ27" s="190"/>
      <c r="BK27" s="190"/>
      <c r="BL27" s="190"/>
      <c r="BM27" s="190"/>
    </row>
    <row r="28" spans="2:65" x14ac:dyDescent="0.25">
      <c r="B28" s="85" t="s">
        <v>143</v>
      </c>
      <c r="C28" s="91"/>
      <c r="D28" s="86">
        <f>IF(ISERROR(VLOOKUP($BC$7,Вспомогательный!$E$2:$BH$7,$BC28,FALSE))=TRUE,"",IF(VLOOKUP($BC$7,Вспомогательный!$E$2:$BH$7,$BC28,FALSE)=0,"",VLOOKUP($BC$7,Вспомогательный!$E$2:$BH$7,$BC28,FALSE)))</f>
        <v>30000</v>
      </c>
      <c r="E28" s="25"/>
      <c r="F28" s="87" t="str">
        <f t="shared" si="1"/>
        <v/>
      </c>
      <c r="BA28" s="190"/>
      <c r="BB28" s="190"/>
      <c r="BC28" s="190">
        <v>46</v>
      </c>
      <c r="BD28" s="190">
        <f>IF(ISNUMBER(IF(ISNUMBER(C28),IF(AND(C28&gt;=0,C28&lt;=100000),C28,D28),D28))=TRUE,IF(ISNUMBER(C28),IF(AND(C28&gt;=0,C28&lt;=100000),C28,D28),D28),0)</f>
        <v>30000</v>
      </c>
      <c r="BE28" s="190"/>
      <c r="BF28" s="190"/>
      <c r="BG28" s="190"/>
      <c r="BH28" s="190"/>
      <c r="BI28" s="190"/>
      <c r="BJ28" s="190"/>
      <c r="BK28" s="190"/>
      <c r="BL28" s="190"/>
      <c r="BM28" s="190"/>
    </row>
    <row r="29" spans="2:65" x14ac:dyDescent="0.25">
      <c r="B29" s="85" t="s">
        <v>286</v>
      </c>
      <c r="C29" s="91"/>
      <c r="D29" s="86">
        <f>IF(ISERROR(VLOOKUP($BC$7,Вспомогательный!$E$2:$BH$7,$BC29,FALSE))=TRUE,"",IF(VLOOKUP($BC$7,Вспомогательный!$E$2:$BH$7,$BC29,FALSE)=0,"",VLOOKUP($BC$7,Вспомогательный!$E$2:$BH$7,$BC29,FALSE)))</f>
        <v>5000</v>
      </c>
      <c r="E29" s="25"/>
      <c r="F29" s="87" t="str">
        <f t="shared" si="1"/>
        <v/>
      </c>
      <c r="BA29" s="190"/>
      <c r="BB29" s="190"/>
      <c r="BC29" s="190">
        <v>47</v>
      </c>
      <c r="BD29" s="190">
        <f>IF(ISNUMBER(IF(ISNUMBER(C29),IF(AND(C29&gt;=0,C29&lt;=100000),C29,D29),D29))=TRUE,IF(ISNUMBER(C29),IF(AND(C29&gt;=0,C29&lt;=100000),C29,D29),D29),0)</f>
        <v>5000</v>
      </c>
      <c r="BE29" s="190"/>
      <c r="BF29" s="190"/>
      <c r="BG29" s="190"/>
      <c r="BH29" s="190"/>
      <c r="BI29" s="190"/>
      <c r="BJ29" s="190"/>
      <c r="BK29" s="190"/>
      <c r="BL29" s="190"/>
      <c r="BM29" s="190"/>
    </row>
    <row r="30" spans="2:65" ht="15.75" thickBot="1" x14ac:dyDescent="0.3">
      <c r="B30" s="85" t="s">
        <v>142</v>
      </c>
      <c r="C30" s="91"/>
      <c r="D30" s="86">
        <f>IF(ISERROR(VLOOKUP($BC$7,Вспомогательный!$E$2:$BH$7,$BC30,FALSE))=TRUE,"",IF(VLOOKUP($BC$7,Вспомогательный!$E$2:$BH$7,$BC30,FALSE)=0,"",VLOOKUP($BC$7,Вспомогательный!$E$2:$BH$7,$BC30,FALSE)))</f>
        <v>2000</v>
      </c>
      <c r="E30" s="25"/>
      <c r="F30" s="87" t="str">
        <f t="shared" si="1"/>
        <v/>
      </c>
      <c r="BA30" s="190"/>
      <c r="BB30" s="190"/>
      <c r="BC30" s="190">
        <v>48</v>
      </c>
      <c r="BD30" s="190">
        <f>IF(ISNUMBER(IF(ISNUMBER(C30),IF(AND(C30&gt;=0,C30&lt;=50000),C30,D30),D30))=TRUE,IF(ISNUMBER(C30),IF(AND(C30&gt;=0,C30&lt;=50000),C30,D30),D30),0)</f>
        <v>2000</v>
      </c>
      <c r="BE30" s="190"/>
      <c r="BF30" s="190"/>
      <c r="BG30" s="190"/>
      <c r="BH30" s="190"/>
      <c r="BI30" s="190"/>
      <c r="BJ30" s="190"/>
      <c r="BK30" s="190"/>
      <c r="BL30" s="190"/>
      <c r="BM30" s="190"/>
    </row>
    <row r="31" spans="2:65" ht="15.75" thickTop="1" x14ac:dyDescent="0.25">
      <c r="B31" s="88" t="s">
        <v>160</v>
      </c>
      <c r="C31" s="89" t="str">
        <f>IF(BD31&lt;&gt;D31,BD31,"")</f>
        <v/>
      </c>
      <c r="D31" s="89">
        <f>D21*D22*D23-D25*D22*D23*5-D26-D27*D23-D28*D23-D29*D23-D30*D23-D24*D23</f>
        <v>488000</v>
      </c>
      <c r="E31" s="25" t="s">
        <v>188</v>
      </c>
      <c r="F31" s="87" t="str">
        <f>IF(AND(SUM(C31:D31)&gt;0,B19&lt;&gt;""),"Внимание, сейчас расчет отключен (на листе 'Вводные'), эта сумма не будет включена в финансовую модель","")</f>
        <v/>
      </c>
      <c r="BA31" s="190"/>
      <c r="BB31" s="190"/>
      <c r="BC31" s="190"/>
      <c r="BD31" s="210">
        <f>BD21*BD22*BD23-BD25*BD22*BD23*5-BD26-BD27*BD23-BD28*BD23-BD29*BD23-BD30*BD23-BD24*BD23</f>
        <v>488000</v>
      </c>
      <c r="BE31" s="190"/>
      <c r="BF31" s="190"/>
      <c r="BG31" s="190"/>
      <c r="BH31" s="190"/>
      <c r="BI31" s="190"/>
      <c r="BJ31" s="190"/>
      <c r="BK31" s="190"/>
      <c r="BL31" s="190"/>
      <c r="BM31" s="190"/>
    </row>
    <row r="32" spans="2:65" x14ac:dyDescent="0.25">
      <c r="BA32" s="190"/>
      <c r="BB32" s="190"/>
      <c r="BC32" s="190"/>
      <c r="BD32" s="190"/>
      <c r="BE32" s="190"/>
      <c r="BF32" s="190"/>
      <c r="BG32" s="190"/>
      <c r="BH32" s="190"/>
      <c r="BI32" s="190"/>
      <c r="BJ32" s="190"/>
      <c r="BK32" s="190"/>
      <c r="BL32" s="190"/>
      <c r="BM32" s="190"/>
    </row>
    <row r="34" spans="1:54" s="189" customFormat="1" ht="30" customHeight="1" x14ac:dyDescent="0.2">
      <c r="A34" s="185" t="s">
        <v>210</v>
      </c>
      <c r="B34" s="186"/>
      <c r="C34" s="187"/>
      <c r="D34" s="187"/>
      <c r="E34" s="188"/>
      <c r="F34" s="188"/>
      <c r="G34" s="188"/>
      <c r="H34" s="188"/>
      <c r="I34" s="188"/>
      <c r="J34" s="188"/>
      <c r="K34" s="188"/>
      <c r="Q34" s="187"/>
      <c r="R34" s="187"/>
      <c r="S34" s="187"/>
      <c r="T34" s="187"/>
      <c r="U34" s="187"/>
      <c r="V34" s="187"/>
      <c r="W34" s="187"/>
      <c r="X34" s="187"/>
      <c r="Y34" s="187"/>
      <c r="Z34" s="187"/>
      <c r="AA34" s="188"/>
      <c r="AB34" s="188"/>
      <c r="AD34" s="188"/>
      <c r="AE34" s="188"/>
      <c r="AF34" s="188"/>
      <c r="AG34" s="188"/>
      <c r="AH34" s="188"/>
      <c r="AI34" s="188"/>
      <c r="AJ34" s="188"/>
      <c r="AK34" s="188"/>
      <c r="AL34" s="188"/>
      <c r="AM34" s="188"/>
      <c r="AN34" s="188"/>
      <c r="AO34" s="188"/>
      <c r="AQ34" s="188"/>
      <c r="AR34" s="188"/>
      <c r="AS34" s="188"/>
      <c r="AT34" s="188"/>
      <c r="AU34" s="188"/>
      <c r="AV34" s="188"/>
      <c r="AW34" s="188"/>
      <c r="AX34" s="188"/>
      <c r="AY34" s="188"/>
      <c r="AZ34" s="188"/>
      <c r="BA34" s="188"/>
      <c r="BB34" s="188"/>
    </row>
    <row r="35" spans="1:54" s="184" customFormat="1" ht="21" x14ac:dyDescent="0.25">
      <c r="A35" s="182" t="str">
        <f>HYPERLINK("https://roblab.ru/franchise/","Перейти на сайт ")</f>
        <v xml:space="preserve">Перейти на сайт </v>
      </c>
      <c r="B35" s="183"/>
      <c r="C35" s="183"/>
      <c r="D35" s="183"/>
      <c r="E35" s="183"/>
      <c r="F35" s="183"/>
      <c r="G35" s="183"/>
      <c r="H35" s="183"/>
      <c r="I35" s="183"/>
      <c r="J35" s="183"/>
      <c r="K35" s="183"/>
      <c r="Q35" s="183"/>
      <c r="R35" s="183"/>
      <c r="S35" s="183"/>
      <c r="T35" s="183"/>
      <c r="U35" s="183"/>
      <c r="V35" s="183"/>
      <c r="W35" s="183"/>
      <c r="X35" s="183"/>
      <c r="Y35" s="183"/>
      <c r="Z35" s="183"/>
      <c r="AA35" s="183"/>
      <c r="AB35" s="183"/>
      <c r="AD35" s="183"/>
      <c r="AE35" s="183"/>
      <c r="AF35" s="183"/>
      <c r="AG35" s="183"/>
      <c r="AH35" s="183"/>
      <c r="AI35" s="183"/>
      <c r="AJ35" s="183"/>
      <c r="AK35" s="183"/>
      <c r="AL35" s="183"/>
      <c r="AM35" s="183"/>
      <c r="AN35" s="183"/>
      <c r="AO35" s="183"/>
      <c r="AQ35" s="183"/>
      <c r="AR35" s="183"/>
      <c r="AS35" s="183"/>
      <c r="AT35" s="183"/>
      <c r="AU35" s="183"/>
      <c r="AV35" s="183"/>
      <c r="AW35" s="183"/>
      <c r="AX35" s="183"/>
      <c r="AY35" s="183"/>
      <c r="AZ35" s="183"/>
      <c r="BA35" s="183"/>
      <c r="BB35" s="183"/>
    </row>
  </sheetData>
  <sheetProtection algorithmName="SHA-512" hashValue="RvEnfCVVasVcZFuTEk+mRKa9CiHsWKCn/tkgiTuB097/7Sm24+IyF8SaKfFqXCvyJPPzuMhe6yaE/n2fzy/O5g==" saltValue="or0f/LiciShtCrozBqooeA==" spinCount="100000" sheet="1" objects="1" scenarios="1" formatCells="0"/>
  <mergeCells count="4">
    <mergeCell ref="B5:J5"/>
    <mergeCell ref="B18:J18"/>
    <mergeCell ref="B19:J19"/>
    <mergeCell ref="B6:J6"/>
  </mergeCells>
  <hyperlinks>
    <hyperlink ref="B19:J19" location="Вводные!B17" display="Вводные!B17"/>
    <hyperlink ref="B6:J6" location="Вводные!B16" display="Вводные!B16"/>
  </hyperlinks>
  <pageMargins left="0.7" right="0.7" top="0.75" bottom="0.75"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2:BM41"/>
  <sheetViews>
    <sheetView zoomScaleNormal="100" workbookViewId="0"/>
  </sheetViews>
  <sheetFormatPr defaultRowHeight="12.75" x14ac:dyDescent="0.2"/>
  <cols>
    <col min="1" max="1" width="1.85546875" style="6" customWidth="1"/>
    <col min="2" max="2" width="4" style="6" customWidth="1"/>
    <col min="3" max="3" width="32.140625" style="6" customWidth="1"/>
    <col min="4" max="4" width="13.7109375" style="6" customWidth="1"/>
    <col min="5" max="5" width="5.28515625" style="52" customWidth="1"/>
    <col min="6" max="6" width="1.42578125" style="6" customWidth="1"/>
    <col min="7" max="7" width="30" style="6" customWidth="1"/>
    <col min="8" max="8" width="13.7109375" style="6" customWidth="1"/>
    <col min="9" max="9" width="5.28515625" style="52" customWidth="1"/>
    <col min="10" max="10" width="1.42578125" style="6" customWidth="1"/>
    <col min="11" max="11" width="30" style="6" customWidth="1"/>
    <col min="12" max="12" width="13.7109375" style="6" customWidth="1"/>
    <col min="13" max="13" width="5.28515625" style="52" customWidth="1"/>
    <col min="14" max="14" width="1.42578125" style="6" customWidth="1"/>
    <col min="15" max="15" width="21.5703125" style="6" customWidth="1"/>
    <col min="16" max="16" width="15.42578125" style="6" customWidth="1"/>
    <col min="17" max="17" width="5.28515625" style="52" customWidth="1"/>
    <col min="18" max="18" width="1.42578125" style="6" customWidth="1"/>
    <col min="19" max="53" width="9.140625" style="6"/>
    <col min="54" max="54" width="3.5703125" style="6" customWidth="1"/>
    <col min="55" max="16384" width="9.140625" style="6"/>
  </cols>
  <sheetData>
    <row r="2" spans="1:65" ht="35.25" customHeight="1" x14ac:dyDescent="0.35">
      <c r="A2" s="1" t="s">
        <v>207</v>
      </c>
      <c r="B2" s="2"/>
      <c r="C2" s="3"/>
      <c r="D2" s="4"/>
      <c r="E2" s="4"/>
      <c r="F2" s="4"/>
      <c r="G2" s="4"/>
      <c r="H2" s="4"/>
      <c r="I2" s="4"/>
      <c r="J2" s="4"/>
      <c r="K2" s="3"/>
      <c r="L2" s="3"/>
      <c r="M2" s="5"/>
      <c r="N2" s="5"/>
      <c r="O2" s="5"/>
      <c r="P2" s="5"/>
      <c r="Q2" s="2"/>
      <c r="R2" s="2"/>
    </row>
    <row r="3" spans="1:65" x14ac:dyDescent="0.2">
      <c r="B3" s="92"/>
      <c r="C3" s="92"/>
      <c r="BA3" s="207"/>
      <c r="BB3" s="207"/>
      <c r="BC3" s="207"/>
      <c r="BD3" s="207"/>
      <c r="BE3" s="207"/>
      <c r="BF3" s="207"/>
      <c r="BG3" s="207"/>
      <c r="BH3" s="207"/>
      <c r="BI3" s="207"/>
      <c r="BJ3" s="207"/>
      <c r="BK3" s="207"/>
      <c r="BL3" s="207"/>
      <c r="BM3" s="207"/>
    </row>
    <row r="4" spans="1:65" ht="12.75" customHeight="1" x14ac:dyDescent="0.2">
      <c r="B4" s="200" t="s">
        <v>188</v>
      </c>
      <c r="C4" s="202" t="s">
        <v>83</v>
      </c>
      <c r="D4" s="202"/>
      <c r="E4" s="202"/>
      <c r="F4" s="202"/>
      <c r="G4" s="202"/>
      <c r="H4" s="202"/>
      <c r="I4" s="202"/>
      <c r="J4" s="202"/>
      <c r="K4" s="201">
        <v>1</v>
      </c>
      <c r="L4" s="93"/>
      <c r="BA4" s="207" t="s">
        <v>307</v>
      </c>
      <c r="BB4" s="207">
        <f>IF(ISNUMBER(K4)=FALSE,1,IF(K4&lt;0.8,0.8,IF(K4&gt;1.8,1.8,K4)))</f>
        <v>1</v>
      </c>
      <c r="BC4" s="207"/>
      <c r="BD4" s="207"/>
      <c r="BE4" s="207"/>
      <c r="BF4" s="207"/>
      <c r="BG4" s="207"/>
      <c r="BH4" s="207"/>
      <c r="BI4" s="207"/>
      <c r="BJ4" s="207"/>
      <c r="BK4" s="207"/>
      <c r="BL4" s="207"/>
      <c r="BM4" s="207"/>
    </row>
    <row r="5" spans="1:65" ht="12.75" customHeight="1" x14ac:dyDescent="0.2">
      <c r="B5" s="200"/>
      <c r="C5" s="202"/>
      <c r="D5" s="202"/>
      <c r="E5" s="202"/>
      <c r="F5" s="202"/>
      <c r="G5" s="202"/>
      <c r="H5" s="202"/>
      <c r="I5" s="202"/>
      <c r="J5" s="202"/>
      <c r="K5" s="201"/>
      <c r="L5" s="48" t="str">
        <f>IF(AND(K4&lt;&gt;"",K4&lt;&gt;BB4),"Внимание! Ошибка коэффициента стоимости. Он не может быть слишком низким или очень высоким. Сейчас для модели используется: "&amp;$BB$4,"")&amp;IF(K4="","Коэффициент изменения стоимости не задан, для модели будет использован 1","")</f>
        <v/>
      </c>
      <c r="BA5" s="207"/>
      <c r="BB5" s="207"/>
      <c r="BC5" s="207"/>
      <c r="BD5" s="207"/>
      <c r="BE5" s="207"/>
      <c r="BF5" s="207"/>
      <c r="BG5" s="207"/>
      <c r="BH5" s="207"/>
      <c r="BI5" s="207"/>
      <c r="BJ5" s="207"/>
      <c r="BK5" s="207"/>
      <c r="BL5" s="207"/>
      <c r="BM5" s="207"/>
    </row>
    <row r="6" spans="1:65" ht="12.75" customHeight="1" x14ac:dyDescent="0.2">
      <c r="B6" s="200"/>
      <c r="C6" s="202"/>
      <c r="D6" s="202"/>
      <c r="E6" s="202"/>
      <c r="F6" s="202"/>
      <c r="G6" s="202"/>
      <c r="H6" s="202"/>
      <c r="I6" s="202"/>
      <c r="J6" s="202"/>
      <c r="K6" s="201"/>
      <c r="L6" s="93"/>
      <c r="BA6" s="207"/>
      <c r="BB6" s="207"/>
      <c r="BC6" s="207"/>
      <c r="BD6" s="207"/>
      <c r="BE6" s="207"/>
      <c r="BF6" s="207"/>
      <c r="BG6" s="207"/>
      <c r="BH6" s="207"/>
      <c r="BI6" s="207"/>
      <c r="BJ6" s="207"/>
      <c r="BK6" s="207"/>
      <c r="BL6" s="207"/>
      <c r="BM6" s="207"/>
    </row>
    <row r="7" spans="1:65" x14ac:dyDescent="0.2">
      <c r="B7" s="94" t="s">
        <v>188</v>
      </c>
      <c r="C7" s="92" t="s">
        <v>287</v>
      </c>
      <c r="BA7" s="207"/>
      <c r="BB7" s="207"/>
      <c r="BC7" s="207"/>
      <c r="BD7" s="207"/>
      <c r="BE7" s="207"/>
      <c r="BF7" s="207"/>
      <c r="BG7" s="207"/>
      <c r="BH7" s="207"/>
      <c r="BI7" s="207"/>
      <c r="BJ7" s="207"/>
      <c r="BK7" s="207"/>
      <c r="BL7" s="207"/>
      <c r="BM7" s="207"/>
    </row>
    <row r="8" spans="1:65" x14ac:dyDescent="0.2">
      <c r="B8" s="94"/>
      <c r="C8" s="94"/>
      <c r="D8" s="92"/>
      <c r="BA8" s="207"/>
      <c r="BB8" s="207"/>
      <c r="BC8" s="207"/>
      <c r="BD8" s="207"/>
      <c r="BE8" s="207"/>
      <c r="BF8" s="207"/>
      <c r="BG8" s="207"/>
      <c r="BH8" s="207"/>
      <c r="BI8" s="207"/>
      <c r="BJ8" s="207"/>
      <c r="BK8" s="207"/>
      <c r="BL8" s="207"/>
      <c r="BM8" s="207"/>
    </row>
    <row r="9" spans="1:65" ht="18.75" x14ac:dyDescent="0.3">
      <c r="B9" s="199" t="s">
        <v>28</v>
      </c>
      <c r="C9" s="199"/>
      <c r="D9" s="199"/>
      <c r="E9" s="199"/>
      <c r="F9" s="199"/>
      <c r="G9" s="199"/>
      <c r="H9" s="199"/>
      <c r="I9" s="199"/>
      <c r="J9" s="199"/>
      <c r="K9" s="199"/>
      <c r="L9" s="199"/>
      <c r="M9" s="199"/>
      <c r="N9" s="199"/>
      <c r="O9" s="199"/>
      <c r="P9" s="199"/>
      <c r="Q9" s="199"/>
      <c r="BA9" s="207"/>
      <c r="BB9" s="207"/>
      <c r="BC9" s="207"/>
      <c r="BD9" s="207"/>
      <c r="BE9" s="207"/>
      <c r="BF9" s="207"/>
      <c r="BG9" s="207"/>
      <c r="BH9" s="207"/>
      <c r="BI9" s="207"/>
      <c r="BJ9" s="207"/>
      <c r="BK9" s="207"/>
      <c r="BL9" s="207"/>
      <c r="BM9" s="207"/>
    </row>
    <row r="10" spans="1:65" ht="15.75" x14ac:dyDescent="0.25">
      <c r="B10" s="95" t="s">
        <v>85</v>
      </c>
      <c r="C10" s="95"/>
      <c r="D10" s="96">
        <f>IF(Вводные!$E$4=Вспомогательный!$J$16,SUMIF(E11:E35,"=ДС",D11:D35), SUM(D11:D35))*$BB$4</f>
        <v>136500</v>
      </c>
      <c r="E10" s="97"/>
      <c r="F10" s="98"/>
      <c r="G10" s="95" t="s">
        <v>86</v>
      </c>
      <c r="H10" s="96">
        <f>IF(Вводные!$E$4=Вспомогательный!$J$16,SUMIF(I11:I35,"=ДС",H11:H35), SUM(H11:H35))*$BB$4</f>
        <v>45020</v>
      </c>
      <c r="I10" s="99"/>
      <c r="J10" s="22"/>
      <c r="K10" s="95" t="s">
        <v>208</v>
      </c>
      <c r="L10" s="96">
        <f>IF(Вводные!$E$4=Вспомогательный!$J$16,SUMIF(M11:M35,"=ДС",L11:L35), SUM(L11:L35))*$BB$4</f>
        <v>5200</v>
      </c>
      <c r="M10" s="99"/>
      <c r="N10" s="22"/>
      <c r="O10" s="95" t="s">
        <v>209</v>
      </c>
      <c r="P10" s="96">
        <f>IF(Вводные!$E$4=Вспомогательный!$J$16,SUMIF(Q11:Q35,"=ДС",P11:P35), SUM(P11:P35))*$BB$4</f>
        <v>4700</v>
      </c>
      <c r="Q10" s="99"/>
      <c r="BA10" s="207"/>
      <c r="BB10" s="207"/>
      <c r="BC10" s="207"/>
      <c r="BD10" s="207"/>
      <c r="BE10" s="207"/>
      <c r="BF10" s="207"/>
      <c r="BG10" s="207"/>
      <c r="BH10" s="207"/>
      <c r="BI10" s="207"/>
      <c r="BJ10" s="207"/>
      <c r="BK10" s="207"/>
      <c r="BL10" s="207"/>
      <c r="BM10" s="207"/>
    </row>
    <row r="11" spans="1:65" x14ac:dyDescent="0.2">
      <c r="B11" s="203" t="s">
        <v>96</v>
      </c>
      <c r="C11" s="203"/>
      <c r="D11" s="68">
        <v>31000</v>
      </c>
      <c r="E11" s="69" t="s">
        <v>81</v>
      </c>
      <c r="G11" s="72" t="s">
        <v>30</v>
      </c>
      <c r="H11" s="68">
        <v>20000</v>
      </c>
      <c r="I11" s="69" t="s">
        <v>81</v>
      </c>
      <c r="K11" s="72" t="s">
        <v>32</v>
      </c>
      <c r="L11" s="68">
        <v>200</v>
      </c>
      <c r="M11" s="69"/>
      <c r="O11" s="72" t="s">
        <v>32</v>
      </c>
      <c r="P11" s="68">
        <v>200</v>
      </c>
      <c r="Q11" s="69"/>
      <c r="BA11" s="207"/>
      <c r="BB11" s="207"/>
      <c r="BC11" s="207"/>
      <c r="BD11" s="207"/>
      <c r="BE11" s="207"/>
      <c r="BF11" s="207"/>
      <c r="BG11" s="207"/>
      <c r="BH11" s="207"/>
      <c r="BI11" s="207"/>
      <c r="BJ11" s="207"/>
      <c r="BK11" s="207"/>
      <c r="BL11" s="207"/>
      <c r="BM11" s="207"/>
    </row>
    <row r="12" spans="1:65" x14ac:dyDescent="0.2">
      <c r="B12" s="203" t="s">
        <v>178</v>
      </c>
      <c r="C12" s="203"/>
      <c r="D12" s="68">
        <v>2500</v>
      </c>
      <c r="E12" s="69"/>
      <c r="G12" s="72" t="s">
        <v>206</v>
      </c>
      <c r="H12" s="68">
        <f>4000/2</f>
        <v>2000</v>
      </c>
      <c r="I12" s="69" t="s">
        <v>81</v>
      </c>
      <c r="K12" s="72" t="s">
        <v>100</v>
      </c>
      <c r="L12" s="68">
        <v>4000</v>
      </c>
      <c r="M12" s="69"/>
      <c r="O12" s="72" t="s">
        <v>100</v>
      </c>
      <c r="P12" s="68">
        <v>3500</v>
      </c>
      <c r="Q12" s="69"/>
      <c r="BA12" s="207"/>
      <c r="BB12" s="207"/>
      <c r="BC12" s="207"/>
      <c r="BD12" s="207"/>
      <c r="BE12" s="207"/>
      <c r="BF12" s="207"/>
      <c r="BG12" s="207"/>
      <c r="BH12" s="207"/>
      <c r="BI12" s="207"/>
      <c r="BJ12" s="207"/>
      <c r="BK12" s="207"/>
      <c r="BL12" s="207"/>
      <c r="BM12" s="207"/>
    </row>
    <row r="13" spans="1:65" x14ac:dyDescent="0.2">
      <c r="B13" s="203" t="s">
        <v>29</v>
      </c>
      <c r="C13" s="203"/>
      <c r="D13" s="68">
        <v>26000</v>
      </c>
      <c r="E13" s="69" t="s">
        <v>81</v>
      </c>
      <c r="G13" s="72" t="s">
        <v>31</v>
      </c>
      <c r="H13" s="68">
        <v>600</v>
      </c>
      <c r="I13" s="69" t="s">
        <v>81</v>
      </c>
      <c r="K13" s="72" t="s">
        <v>183</v>
      </c>
      <c r="L13" s="68">
        <v>1000</v>
      </c>
      <c r="M13" s="69"/>
      <c r="O13" s="72" t="s">
        <v>183</v>
      </c>
      <c r="P13" s="68">
        <v>1000</v>
      </c>
      <c r="Q13" s="69"/>
      <c r="BA13" s="207"/>
      <c r="BB13" s="207"/>
      <c r="BC13" s="207"/>
      <c r="BD13" s="207"/>
      <c r="BE13" s="207"/>
      <c r="BF13" s="207"/>
      <c r="BG13" s="207"/>
      <c r="BH13" s="207"/>
      <c r="BI13" s="207"/>
      <c r="BJ13" s="207"/>
      <c r="BK13" s="207"/>
      <c r="BL13" s="207"/>
      <c r="BM13" s="207"/>
    </row>
    <row r="14" spans="1:65" x14ac:dyDescent="0.2">
      <c r="B14" s="203" t="s">
        <v>97</v>
      </c>
      <c r="C14" s="203"/>
      <c r="D14" s="68">
        <v>7000</v>
      </c>
      <c r="E14" s="69" t="s">
        <v>81</v>
      </c>
      <c r="G14" s="72" t="s">
        <v>32</v>
      </c>
      <c r="H14" s="68">
        <v>200</v>
      </c>
      <c r="I14" s="69"/>
      <c r="K14" s="102"/>
      <c r="L14" s="68"/>
      <c r="M14" s="69"/>
      <c r="O14" s="102"/>
      <c r="P14" s="70"/>
      <c r="Q14" s="69"/>
      <c r="BA14" s="207"/>
      <c r="BB14" s="207"/>
      <c r="BC14" s="207"/>
      <c r="BD14" s="207"/>
      <c r="BE14" s="207"/>
      <c r="BF14" s="207"/>
      <c r="BG14" s="207"/>
      <c r="BH14" s="207"/>
      <c r="BI14" s="207"/>
      <c r="BJ14" s="207"/>
      <c r="BK14" s="207"/>
      <c r="BL14" s="207"/>
      <c r="BM14" s="207"/>
    </row>
    <row r="15" spans="1:65" x14ac:dyDescent="0.2">
      <c r="B15" s="203" t="s">
        <v>181</v>
      </c>
      <c r="C15" s="203"/>
      <c r="D15" s="68">
        <v>28000</v>
      </c>
      <c r="E15" s="69"/>
      <c r="G15" s="72" t="s">
        <v>33</v>
      </c>
      <c r="H15" s="68">
        <v>7500</v>
      </c>
      <c r="I15" s="69"/>
      <c r="K15" s="102"/>
      <c r="L15" s="68"/>
      <c r="M15" s="69"/>
      <c r="O15" s="102"/>
      <c r="P15" s="70"/>
      <c r="Q15" s="69"/>
      <c r="BA15" s="207"/>
      <c r="BB15" s="207"/>
      <c r="BC15" s="207"/>
      <c r="BD15" s="207"/>
      <c r="BE15" s="207"/>
      <c r="BF15" s="207"/>
      <c r="BG15" s="207"/>
      <c r="BH15" s="207"/>
      <c r="BI15" s="207"/>
      <c r="BJ15" s="207"/>
      <c r="BK15" s="207"/>
      <c r="BL15" s="207"/>
      <c r="BM15" s="207"/>
    </row>
    <row r="16" spans="1:65" x14ac:dyDescent="0.2">
      <c r="B16" s="203" t="s">
        <v>60</v>
      </c>
      <c r="C16" s="203"/>
      <c r="D16" s="68">
        <v>3000</v>
      </c>
      <c r="E16" s="69"/>
      <c r="G16" s="72" t="s">
        <v>95</v>
      </c>
      <c r="H16" s="68">
        <v>1000</v>
      </c>
      <c r="I16" s="69"/>
      <c r="K16" s="102"/>
      <c r="L16" s="70"/>
      <c r="M16" s="69"/>
      <c r="O16" s="102"/>
      <c r="P16" s="70"/>
      <c r="Q16" s="69"/>
      <c r="BA16" s="207"/>
      <c r="BB16" s="207"/>
      <c r="BC16" s="207"/>
      <c r="BD16" s="207"/>
      <c r="BE16" s="207"/>
      <c r="BF16" s="207"/>
      <c r="BG16" s="207"/>
      <c r="BH16" s="207"/>
      <c r="BI16" s="207"/>
      <c r="BJ16" s="207"/>
      <c r="BK16" s="207"/>
      <c r="BL16" s="207"/>
      <c r="BM16" s="207"/>
    </row>
    <row r="17" spans="2:65" x14ac:dyDescent="0.2">
      <c r="B17" s="203" t="s">
        <v>61</v>
      </c>
      <c r="C17" s="203"/>
      <c r="D17" s="68">
        <v>1000</v>
      </c>
      <c r="E17" s="69" t="s">
        <v>81</v>
      </c>
      <c r="G17" s="72" t="s">
        <v>82</v>
      </c>
      <c r="H17" s="68">
        <v>3600</v>
      </c>
      <c r="I17" s="69"/>
      <c r="K17" s="102"/>
      <c r="L17" s="70"/>
      <c r="M17" s="69"/>
      <c r="O17" s="102"/>
      <c r="P17" s="70"/>
      <c r="Q17" s="69"/>
      <c r="BA17" s="207"/>
      <c r="BB17" s="207"/>
      <c r="BC17" s="207"/>
      <c r="BD17" s="207"/>
      <c r="BE17" s="207"/>
      <c r="BF17" s="207"/>
      <c r="BG17" s="207"/>
      <c r="BH17" s="207"/>
      <c r="BI17" s="207"/>
      <c r="BJ17" s="207"/>
      <c r="BK17" s="207"/>
      <c r="BL17" s="207"/>
      <c r="BM17" s="207"/>
    </row>
    <row r="18" spans="2:65" x14ac:dyDescent="0.2">
      <c r="B18" s="203" t="s">
        <v>177</v>
      </c>
      <c r="C18" s="203"/>
      <c r="D18" s="68">
        <v>3000</v>
      </c>
      <c r="E18" s="69"/>
      <c r="G18" s="72" t="s">
        <v>269</v>
      </c>
      <c r="H18" s="68">
        <v>8000</v>
      </c>
      <c r="I18" s="69" t="s">
        <v>81</v>
      </c>
      <c r="K18" s="102"/>
      <c r="L18" s="70"/>
      <c r="M18" s="69"/>
      <c r="O18" s="102"/>
      <c r="P18" s="70"/>
      <c r="Q18" s="69"/>
      <c r="BA18" s="207"/>
      <c r="BB18" s="207"/>
      <c r="BC18" s="207"/>
      <c r="BD18" s="207"/>
      <c r="BE18" s="207"/>
      <c r="BF18" s="207"/>
      <c r="BG18" s="207"/>
      <c r="BH18" s="207"/>
      <c r="BI18" s="207"/>
      <c r="BJ18" s="207"/>
      <c r="BK18" s="207"/>
      <c r="BL18" s="207"/>
      <c r="BM18" s="207"/>
    </row>
    <row r="19" spans="2:65" ht="25.5" x14ac:dyDescent="0.2">
      <c r="B19" s="203" t="s">
        <v>270</v>
      </c>
      <c r="C19" s="203"/>
      <c r="D19" s="68">
        <v>20000</v>
      </c>
      <c r="E19" s="69" t="s">
        <v>81</v>
      </c>
      <c r="G19" s="101" t="s">
        <v>138</v>
      </c>
      <c r="H19" s="68">
        <v>2000</v>
      </c>
      <c r="I19" s="69" t="s">
        <v>81</v>
      </c>
      <c r="K19" s="102"/>
      <c r="L19" s="70"/>
      <c r="M19" s="69"/>
      <c r="O19" s="102"/>
      <c r="P19" s="70"/>
      <c r="Q19" s="69"/>
      <c r="BA19" s="207"/>
      <c r="BB19" s="207"/>
      <c r="BC19" s="207"/>
      <c r="BD19" s="207"/>
      <c r="BE19" s="207"/>
      <c r="BF19" s="207"/>
      <c r="BG19" s="207"/>
      <c r="BH19" s="207"/>
      <c r="BI19" s="207"/>
      <c r="BJ19" s="207"/>
      <c r="BK19" s="207"/>
      <c r="BL19" s="207"/>
      <c r="BM19" s="207"/>
    </row>
    <row r="20" spans="2:65" x14ac:dyDescent="0.2">
      <c r="B20" s="203" t="s">
        <v>84</v>
      </c>
      <c r="C20" s="203"/>
      <c r="D20" s="70"/>
      <c r="E20" s="69" t="s">
        <v>81</v>
      </c>
      <c r="G20" s="101" t="s">
        <v>182</v>
      </c>
      <c r="H20" s="68">
        <v>120</v>
      </c>
      <c r="I20" s="69"/>
      <c r="K20" s="102"/>
      <c r="L20" s="70"/>
      <c r="M20" s="69"/>
      <c r="O20" s="102"/>
      <c r="P20" s="70"/>
      <c r="Q20" s="69"/>
      <c r="BA20" s="207"/>
      <c r="BB20" s="207"/>
      <c r="BC20" s="207"/>
      <c r="BD20" s="207"/>
      <c r="BE20" s="207"/>
      <c r="BF20" s="207"/>
      <c r="BG20" s="207"/>
      <c r="BH20" s="207"/>
      <c r="BI20" s="207"/>
      <c r="BJ20" s="207"/>
      <c r="BK20" s="207"/>
      <c r="BL20" s="207"/>
      <c r="BM20" s="207"/>
    </row>
    <row r="21" spans="2:65" x14ac:dyDescent="0.2">
      <c r="B21" s="203" t="s">
        <v>185</v>
      </c>
      <c r="C21" s="203"/>
      <c r="D21" s="68">
        <v>10000</v>
      </c>
      <c r="E21" s="69" t="s">
        <v>81</v>
      </c>
      <c r="G21" s="102"/>
      <c r="H21" s="70"/>
      <c r="I21" s="69"/>
      <c r="K21" s="102"/>
      <c r="L21" s="70"/>
      <c r="M21" s="69"/>
      <c r="O21" s="102"/>
      <c r="P21" s="70"/>
      <c r="Q21" s="69"/>
      <c r="BA21" s="207"/>
      <c r="BB21" s="207"/>
      <c r="BC21" s="207"/>
      <c r="BD21" s="207"/>
      <c r="BE21" s="207"/>
      <c r="BF21" s="207"/>
      <c r="BG21" s="207"/>
      <c r="BH21" s="207"/>
      <c r="BI21" s="207"/>
      <c r="BJ21" s="207"/>
      <c r="BK21" s="207"/>
      <c r="BL21" s="207"/>
      <c r="BM21" s="207"/>
    </row>
    <row r="22" spans="2:65" x14ac:dyDescent="0.2">
      <c r="B22" s="203" t="s">
        <v>98</v>
      </c>
      <c r="C22" s="203"/>
      <c r="D22" s="68">
        <v>5000</v>
      </c>
      <c r="E22" s="69" t="s">
        <v>81</v>
      </c>
      <c r="G22" s="102"/>
      <c r="H22" s="70"/>
      <c r="I22" s="69"/>
      <c r="K22" s="102"/>
      <c r="L22" s="70"/>
      <c r="M22" s="69"/>
      <c r="O22" s="102"/>
      <c r="P22" s="70"/>
      <c r="Q22" s="69"/>
      <c r="BA22" s="207"/>
      <c r="BB22" s="207"/>
      <c r="BC22" s="207"/>
      <c r="BD22" s="207"/>
      <c r="BE22" s="207"/>
      <c r="BF22" s="207"/>
      <c r="BG22" s="207"/>
      <c r="BH22" s="207"/>
      <c r="BI22" s="207"/>
      <c r="BJ22" s="207"/>
      <c r="BK22" s="207"/>
      <c r="BL22" s="207"/>
      <c r="BM22" s="207"/>
    </row>
    <row r="23" spans="2:65" x14ac:dyDescent="0.2">
      <c r="B23" s="203" t="s">
        <v>184</v>
      </c>
      <c r="C23" s="203"/>
      <c r="D23" s="70"/>
      <c r="E23" s="69" t="s">
        <v>81</v>
      </c>
      <c r="G23" s="102"/>
      <c r="H23" s="70"/>
      <c r="I23" s="69"/>
      <c r="K23" s="102"/>
      <c r="L23" s="70"/>
      <c r="M23" s="69"/>
      <c r="O23" s="102"/>
      <c r="P23" s="70"/>
      <c r="Q23" s="69"/>
      <c r="BA23" s="207"/>
      <c r="BB23" s="207"/>
      <c r="BC23" s="207"/>
      <c r="BD23" s="207"/>
      <c r="BE23" s="207"/>
      <c r="BF23" s="207"/>
      <c r="BG23" s="207"/>
      <c r="BH23" s="207"/>
      <c r="BI23" s="207"/>
      <c r="BJ23" s="207"/>
      <c r="BK23" s="207"/>
      <c r="BL23" s="207"/>
      <c r="BM23" s="207"/>
    </row>
    <row r="24" spans="2:65" x14ac:dyDescent="0.2">
      <c r="B24" s="204"/>
      <c r="C24" s="204"/>
      <c r="D24" s="70"/>
      <c r="E24" s="69"/>
      <c r="G24" s="102"/>
      <c r="H24" s="70"/>
      <c r="I24" s="69"/>
      <c r="K24" s="102"/>
      <c r="L24" s="70"/>
      <c r="M24" s="69"/>
      <c r="O24" s="102"/>
      <c r="P24" s="70"/>
      <c r="Q24" s="69"/>
      <c r="BA24" s="207"/>
      <c r="BB24" s="207"/>
      <c r="BC24" s="207"/>
      <c r="BD24" s="207"/>
      <c r="BE24" s="207"/>
      <c r="BF24" s="207"/>
      <c r="BG24" s="207"/>
      <c r="BH24" s="207"/>
      <c r="BI24" s="207"/>
      <c r="BJ24" s="207"/>
      <c r="BK24" s="207"/>
      <c r="BL24" s="207"/>
      <c r="BM24" s="207"/>
    </row>
    <row r="25" spans="2:65" x14ac:dyDescent="0.2">
      <c r="B25" s="204"/>
      <c r="C25" s="204"/>
      <c r="D25" s="70"/>
      <c r="E25" s="69"/>
      <c r="G25" s="102"/>
      <c r="H25" s="70"/>
      <c r="I25" s="69"/>
      <c r="K25" s="102"/>
      <c r="L25" s="70"/>
      <c r="M25" s="69"/>
      <c r="O25" s="102"/>
      <c r="P25" s="70"/>
      <c r="Q25" s="69"/>
      <c r="BA25" s="207"/>
      <c r="BB25" s="207"/>
      <c r="BC25" s="207"/>
      <c r="BD25" s="207"/>
      <c r="BE25" s="207"/>
      <c r="BF25" s="207"/>
      <c r="BG25" s="207"/>
      <c r="BH25" s="207"/>
      <c r="BI25" s="207"/>
      <c r="BJ25" s="207"/>
      <c r="BK25" s="207"/>
      <c r="BL25" s="207"/>
      <c r="BM25" s="207"/>
    </row>
    <row r="26" spans="2:65" x14ac:dyDescent="0.2">
      <c r="B26" s="204"/>
      <c r="C26" s="204"/>
      <c r="D26" s="70"/>
      <c r="E26" s="69"/>
      <c r="G26" s="102"/>
      <c r="H26" s="70"/>
      <c r="I26" s="69"/>
      <c r="K26" s="102"/>
      <c r="L26" s="70"/>
      <c r="M26" s="69"/>
      <c r="O26" s="102"/>
      <c r="P26" s="70"/>
      <c r="Q26" s="69"/>
      <c r="BA26" s="207"/>
      <c r="BB26" s="207"/>
      <c r="BC26" s="207"/>
      <c r="BD26" s="207"/>
      <c r="BE26" s="207"/>
      <c r="BF26" s="207"/>
      <c r="BG26" s="207"/>
      <c r="BH26" s="207"/>
      <c r="BI26" s="207"/>
      <c r="BJ26" s="207"/>
      <c r="BK26" s="207"/>
      <c r="BL26" s="207"/>
      <c r="BM26" s="207"/>
    </row>
    <row r="27" spans="2:65" x14ac:dyDescent="0.2">
      <c r="B27" s="204"/>
      <c r="C27" s="204"/>
      <c r="D27" s="70"/>
      <c r="E27" s="69"/>
      <c r="G27" s="102"/>
      <c r="H27" s="70"/>
      <c r="I27" s="69"/>
      <c r="K27" s="102"/>
      <c r="L27" s="70"/>
      <c r="M27" s="69"/>
      <c r="O27" s="102"/>
      <c r="P27" s="70"/>
      <c r="Q27" s="69"/>
      <c r="BA27" s="207"/>
      <c r="BB27" s="207"/>
      <c r="BC27" s="207"/>
      <c r="BD27" s="207"/>
      <c r="BE27" s="207"/>
      <c r="BF27" s="207"/>
      <c r="BG27" s="207"/>
      <c r="BH27" s="207"/>
      <c r="BI27" s="207"/>
      <c r="BJ27" s="207"/>
      <c r="BK27" s="207"/>
      <c r="BL27" s="207"/>
      <c r="BM27" s="207"/>
    </row>
    <row r="28" spans="2:65" x14ac:dyDescent="0.2">
      <c r="B28" s="204"/>
      <c r="C28" s="204"/>
      <c r="D28" s="70"/>
      <c r="E28" s="69"/>
      <c r="G28" s="102"/>
      <c r="H28" s="70"/>
      <c r="I28" s="69"/>
      <c r="K28" s="102"/>
      <c r="L28" s="70"/>
      <c r="M28" s="69"/>
      <c r="O28" s="102"/>
      <c r="P28" s="70"/>
      <c r="Q28" s="69"/>
      <c r="BA28" s="207"/>
      <c r="BB28" s="207"/>
      <c r="BC28" s="207"/>
      <c r="BD28" s="207"/>
      <c r="BE28" s="207"/>
      <c r="BF28" s="207"/>
      <c r="BG28" s="207"/>
      <c r="BH28" s="207"/>
      <c r="BI28" s="207"/>
      <c r="BJ28" s="207"/>
      <c r="BK28" s="207"/>
      <c r="BL28" s="207"/>
      <c r="BM28" s="207"/>
    </row>
    <row r="29" spans="2:65" x14ac:dyDescent="0.2">
      <c r="B29" s="204"/>
      <c r="C29" s="204"/>
      <c r="D29" s="70"/>
      <c r="E29" s="69"/>
      <c r="G29" s="102"/>
      <c r="H29" s="70"/>
      <c r="I29" s="69"/>
      <c r="K29" s="102"/>
      <c r="L29" s="70"/>
      <c r="M29" s="69"/>
      <c r="O29" s="102"/>
      <c r="P29" s="70"/>
      <c r="Q29" s="69"/>
      <c r="BA29" s="207"/>
      <c r="BB29" s="207"/>
      <c r="BC29" s="207"/>
      <c r="BD29" s="207"/>
      <c r="BE29" s="207"/>
      <c r="BF29" s="207"/>
      <c r="BG29" s="207"/>
      <c r="BH29" s="207"/>
      <c r="BI29" s="207"/>
      <c r="BJ29" s="207"/>
      <c r="BK29" s="207"/>
      <c r="BL29" s="207"/>
      <c r="BM29" s="207"/>
    </row>
    <row r="30" spans="2:65" x14ac:dyDescent="0.2">
      <c r="B30" s="204"/>
      <c r="C30" s="204"/>
      <c r="D30" s="70"/>
      <c r="E30" s="69"/>
      <c r="G30" s="102"/>
      <c r="H30" s="70"/>
      <c r="I30" s="69"/>
      <c r="K30" s="102"/>
      <c r="L30" s="70"/>
      <c r="M30" s="69"/>
      <c r="O30" s="102"/>
      <c r="P30" s="70"/>
      <c r="Q30" s="69"/>
      <c r="BA30" s="207"/>
      <c r="BB30" s="207"/>
      <c r="BC30" s="207"/>
      <c r="BD30" s="207"/>
      <c r="BE30" s="207"/>
      <c r="BF30" s="207"/>
      <c r="BG30" s="207"/>
      <c r="BH30" s="207"/>
      <c r="BI30" s="207"/>
      <c r="BJ30" s="207"/>
      <c r="BK30" s="207"/>
      <c r="BL30" s="207"/>
      <c r="BM30" s="207"/>
    </row>
    <row r="31" spans="2:65" x14ac:dyDescent="0.2">
      <c r="B31" s="204"/>
      <c r="C31" s="204"/>
      <c r="D31" s="70"/>
      <c r="E31" s="69"/>
      <c r="G31" s="102"/>
      <c r="H31" s="70"/>
      <c r="I31" s="69"/>
      <c r="K31" s="102"/>
      <c r="L31" s="70"/>
      <c r="M31" s="69"/>
      <c r="O31" s="102"/>
      <c r="P31" s="70"/>
      <c r="Q31" s="69"/>
      <c r="BA31" s="207"/>
      <c r="BB31" s="207"/>
      <c r="BC31" s="207"/>
      <c r="BD31" s="207"/>
      <c r="BE31" s="207"/>
      <c r="BF31" s="207"/>
      <c r="BG31" s="207"/>
      <c r="BH31" s="207"/>
      <c r="BI31" s="207"/>
      <c r="BJ31" s="207"/>
      <c r="BK31" s="207"/>
      <c r="BL31" s="207"/>
      <c r="BM31" s="207"/>
    </row>
    <row r="32" spans="2:65" x14ac:dyDescent="0.2">
      <c r="B32" s="204"/>
      <c r="C32" s="204"/>
      <c r="D32" s="70"/>
      <c r="E32" s="69"/>
      <c r="G32" s="102"/>
      <c r="H32" s="70"/>
      <c r="I32" s="69"/>
      <c r="K32" s="102"/>
      <c r="L32" s="70"/>
      <c r="M32" s="69"/>
      <c r="O32" s="102"/>
      <c r="P32" s="70"/>
      <c r="Q32" s="69"/>
      <c r="BA32" s="207"/>
      <c r="BB32" s="207"/>
      <c r="BC32" s="207"/>
      <c r="BD32" s="207"/>
      <c r="BE32" s="207"/>
      <c r="BF32" s="207"/>
      <c r="BG32" s="207"/>
      <c r="BH32" s="207"/>
      <c r="BI32" s="207"/>
      <c r="BJ32" s="207"/>
      <c r="BK32" s="207"/>
      <c r="BL32" s="207"/>
      <c r="BM32" s="207"/>
    </row>
    <row r="33" spans="1:65" x14ac:dyDescent="0.2">
      <c r="B33" s="204"/>
      <c r="C33" s="204"/>
      <c r="D33" s="70"/>
      <c r="E33" s="69"/>
      <c r="G33" s="102"/>
      <c r="H33" s="70"/>
      <c r="I33" s="69"/>
      <c r="K33" s="102"/>
      <c r="L33" s="70"/>
      <c r="M33" s="69"/>
      <c r="O33" s="102"/>
      <c r="P33" s="70"/>
      <c r="Q33" s="69"/>
      <c r="BA33" s="207"/>
      <c r="BB33" s="207"/>
      <c r="BC33" s="207"/>
      <c r="BD33" s="207"/>
      <c r="BE33" s="207"/>
      <c r="BF33" s="207"/>
      <c r="BG33" s="207"/>
      <c r="BH33" s="207"/>
      <c r="BI33" s="207"/>
      <c r="BJ33" s="207"/>
      <c r="BK33" s="207"/>
      <c r="BL33" s="207"/>
      <c r="BM33" s="207"/>
    </row>
    <row r="34" spans="1:65" x14ac:dyDescent="0.2">
      <c r="B34" s="204"/>
      <c r="C34" s="204"/>
      <c r="D34" s="70"/>
      <c r="E34" s="69"/>
      <c r="G34" s="102"/>
      <c r="H34" s="70"/>
      <c r="I34" s="69"/>
      <c r="K34" s="102"/>
      <c r="L34" s="70"/>
      <c r="M34" s="69"/>
      <c r="O34" s="102"/>
      <c r="P34" s="70"/>
      <c r="Q34" s="69"/>
      <c r="BA34" s="207"/>
      <c r="BB34" s="207"/>
      <c r="BC34" s="207"/>
      <c r="BD34" s="207"/>
      <c r="BE34" s="207"/>
      <c r="BF34" s="207"/>
      <c r="BG34" s="207"/>
      <c r="BH34" s="207"/>
      <c r="BI34" s="207"/>
      <c r="BJ34" s="207"/>
      <c r="BK34" s="207"/>
      <c r="BL34" s="207"/>
      <c r="BM34" s="207"/>
    </row>
    <row r="35" spans="1:65" x14ac:dyDescent="0.2">
      <c r="B35" s="204"/>
      <c r="C35" s="204"/>
      <c r="D35" s="70"/>
      <c r="E35" s="69"/>
      <c r="G35" s="102"/>
      <c r="H35" s="70"/>
      <c r="I35" s="69"/>
      <c r="K35" s="102"/>
      <c r="L35" s="70"/>
      <c r="M35" s="69"/>
      <c r="O35" s="102"/>
      <c r="P35" s="70"/>
      <c r="Q35" s="69"/>
      <c r="BA35" s="207"/>
      <c r="BB35" s="207"/>
      <c r="BC35" s="207"/>
      <c r="BD35" s="207"/>
      <c r="BE35" s="207"/>
      <c r="BF35" s="207"/>
      <c r="BG35" s="207"/>
      <c r="BH35" s="207"/>
      <c r="BI35" s="207"/>
      <c r="BJ35" s="207"/>
      <c r="BK35" s="207"/>
      <c r="BL35" s="207"/>
      <c r="BM35" s="207"/>
    </row>
    <row r="37" spans="1:65" s="189" customFormat="1" ht="30" customHeight="1" x14ac:dyDescent="0.2">
      <c r="A37" s="185" t="s">
        <v>210</v>
      </c>
      <c r="B37" s="186"/>
      <c r="C37" s="187"/>
      <c r="D37" s="187"/>
      <c r="E37" s="188"/>
      <c r="F37" s="188"/>
      <c r="G37" s="188"/>
      <c r="H37" s="188"/>
      <c r="I37" s="188"/>
      <c r="J37" s="188"/>
      <c r="K37" s="188"/>
      <c r="Q37" s="187"/>
      <c r="R37" s="187"/>
      <c r="S37" s="187"/>
      <c r="T37" s="187"/>
      <c r="U37" s="187"/>
      <c r="V37" s="187"/>
      <c r="W37" s="187"/>
      <c r="X37" s="187"/>
      <c r="Y37" s="187"/>
      <c r="Z37" s="187"/>
      <c r="AA37" s="188"/>
      <c r="AB37" s="188"/>
      <c r="AD37" s="188"/>
      <c r="AE37" s="188"/>
      <c r="AF37" s="188"/>
      <c r="AG37" s="188"/>
      <c r="AH37" s="188"/>
      <c r="AI37" s="188"/>
      <c r="AJ37" s="188"/>
      <c r="AK37" s="188"/>
      <c r="AL37" s="188"/>
      <c r="AM37" s="188"/>
      <c r="AN37" s="188"/>
      <c r="AO37" s="188"/>
      <c r="AQ37" s="188"/>
      <c r="AR37" s="188"/>
      <c r="AS37" s="188"/>
      <c r="AT37" s="188"/>
      <c r="AU37" s="188"/>
      <c r="AV37" s="188"/>
      <c r="AW37" s="188"/>
      <c r="AX37" s="188"/>
      <c r="AY37" s="188"/>
      <c r="AZ37" s="188"/>
      <c r="BA37" s="188"/>
      <c r="BB37" s="188"/>
    </row>
    <row r="38" spans="1:65" s="184" customFormat="1" ht="21" x14ac:dyDescent="0.25">
      <c r="A38" s="182" t="str">
        <f>HYPERLINK("https://roblab.ru/franchise/","Перейти на сайт ")</f>
        <v xml:space="preserve">Перейти на сайт </v>
      </c>
      <c r="B38" s="183"/>
      <c r="C38" s="183"/>
      <c r="D38" s="183"/>
      <c r="E38" s="183"/>
      <c r="F38" s="183"/>
      <c r="G38" s="183"/>
      <c r="H38" s="183"/>
      <c r="I38" s="183"/>
      <c r="J38" s="183"/>
      <c r="K38" s="183"/>
      <c r="Q38" s="183"/>
      <c r="R38" s="183"/>
      <c r="S38" s="183"/>
      <c r="T38" s="183"/>
      <c r="U38" s="183"/>
      <c r="V38" s="183"/>
      <c r="W38" s="183"/>
      <c r="X38" s="183"/>
      <c r="Y38" s="183"/>
      <c r="Z38" s="183"/>
      <c r="AA38" s="183"/>
      <c r="AB38" s="183"/>
      <c r="AD38" s="183"/>
      <c r="AE38" s="183"/>
      <c r="AF38" s="183"/>
      <c r="AG38" s="183"/>
      <c r="AH38" s="183"/>
      <c r="AI38" s="183"/>
      <c r="AJ38" s="183"/>
      <c r="AK38" s="183"/>
      <c r="AL38" s="183"/>
      <c r="AM38" s="183"/>
      <c r="AN38" s="183"/>
      <c r="AO38" s="183"/>
      <c r="AQ38" s="183"/>
      <c r="AR38" s="183"/>
      <c r="AS38" s="183"/>
      <c r="AT38" s="183"/>
      <c r="AU38" s="183"/>
      <c r="AV38" s="183"/>
      <c r="AW38" s="183"/>
      <c r="AX38" s="183"/>
      <c r="AY38" s="183"/>
      <c r="AZ38" s="183"/>
      <c r="BA38" s="183"/>
      <c r="BB38" s="183"/>
    </row>
    <row r="40" spans="1:65" x14ac:dyDescent="0.2">
      <c r="B40" s="100"/>
      <c r="C40" s="100"/>
    </row>
    <row r="41" spans="1:65" x14ac:dyDescent="0.2">
      <c r="B41" s="100"/>
      <c r="C41" s="100"/>
    </row>
  </sheetData>
  <sheetProtection algorithmName="SHA-512" hashValue="ocEkC8kD+yLguUgJH/C1Y2zq/7166BpJS5G48PK9UUJPYzCGLBrF/QhrfPktbX/R2VHvkhBoq7LauGMuXV05hQ==" saltValue="qzk0HgQRD+zF5Zik4D0Lyw==" spinCount="100000" sheet="1" objects="1" scenarios="1" formatCells="0"/>
  <mergeCells count="29">
    <mergeCell ref="B27:C27"/>
    <mergeCell ref="B33:C33"/>
    <mergeCell ref="B34:C34"/>
    <mergeCell ref="B35:C35"/>
    <mergeCell ref="B28:C28"/>
    <mergeCell ref="B29:C29"/>
    <mergeCell ref="B30:C30"/>
    <mergeCell ref="B31:C31"/>
    <mergeCell ref="B32:C32"/>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9:Q9"/>
    <mergeCell ref="B4:B6"/>
    <mergeCell ref="K4:K6"/>
    <mergeCell ref="C4:J6"/>
    <mergeCell ref="B11:C1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DA115"/>
  <sheetViews>
    <sheetView zoomScaleNormal="100" workbookViewId="0">
      <pane ySplit="5" topLeftCell="A6" activePane="bottomLeft" state="frozen"/>
      <selection pane="bottomLeft"/>
    </sheetView>
  </sheetViews>
  <sheetFormatPr defaultRowHeight="15" x14ac:dyDescent="0.25"/>
  <cols>
    <col min="1" max="1" width="2.140625" style="7" customWidth="1"/>
    <col min="2" max="2" width="45.5703125" style="7" customWidth="1"/>
    <col min="3" max="5" width="12.42578125" style="7" customWidth="1"/>
    <col min="6" max="6" width="13.7109375" style="7" customWidth="1"/>
    <col min="7" max="7" width="15.5703125" style="7" customWidth="1"/>
    <col min="8" max="8" width="12.85546875" style="7" customWidth="1"/>
    <col min="9" max="9" width="13.28515625" style="7" customWidth="1"/>
    <col min="10" max="10" width="14.42578125" style="7" customWidth="1"/>
    <col min="11" max="11" width="13.42578125" style="7" customWidth="1"/>
    <col min="12" max="12" width="1.28515625" style="7" customWidth="1"/>
    <col min="13" max="15" width="9.140625" style="7"/>
    <col min="16" max="16" width="12" style="7" customWidth="1"/>
    <col min="17" max="28" width="12.42578125" style="7" customWidth="1"/>
    <col min="29" max="29" width="12.85546875" style="7" customWidth="1"/>
    <col min="30" max="41" width="12.42578125" style="7" customWidth="1"/>
    <col min="42" max="42" width="12.7109375" style="7" customWidth="1"/>
    <col min="43" max="53" width="12.42578125" style="7" customWidth="1"/>
    <col min="54" max="54" width="13.140625" style="7" customWidth="1"/>
    <col min="55" max="55" width="12.42578125" style="7" customWidth="1"/>
    <col min="56" max="56" width="14.7109375" style="7" customWidth="1"/>
    <col min="57" max="16384" width="9.140625" style="7"/>
  </cols>
  <sheetData>
    <row r="1" spans="1:105" x14ac:dyDescent="0.25">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CN1" s="190"/>
      <c r="CO1" s="190"/>
      <c r="CP1" s="190"/>
      <c r="CQ1" s="207" t="s">
        <v>237</v>
      </c>
      <c r="CR1" s="207" t="s">
        <v>238</v>
      </c>
      <c r="CS1" s="190"/>
      <c r="CT1" s="190"/>
      <c r="CU1" s="190"/>
      <c r="CV1" s="190"/>
      <c r="CW1" s="190"/>
      <c r="CX1" s="190"/>
      <c r="CY1" s="190"/>
      <c r="CZ1" s="190"/>
      <c r="DA1" s="190"/>
    </row>
    <row r="2" spans="1:105" s="2" customFormat="1" ht="36.75" customHeight="1" x14ac:dyDescent="0.35">
      <c r="A2" s="1" t="s">
        <v>207</v>
      </c>
      <c r="C2" s="3"/>
      <c r="D2" s="4"/>
      <c r="E2" s="4"/>
      <c r="F2" s="4"/>
      <c r="G2" s="4"/>
      <c r="H2" s="4"/>
      <c r="I2" s="4"/>
      <c r="J2" s="4"/>
      <c r="K2" s="3"/>
      <c r="L2" s="3"/>
      <c r="M2" s="5"/>
      <c r="N2" s="5"/>
      <c r="O2" s="5"/>
      <c r="P2" s="5"/>
      <c r="Q2" s="4"/>
      <c r="R2" s="4"/>
      <c r="S2" s="4"/>
      <c r="T2" s="4"/>
      <c r="U2" s="4"/>
      <c r="V2" s="4"/>
      <c r="W2" s="4"/>
      <c r="X2" s="4"/>
      <c r="Y2" s="4"/>
      <c r="Z2" s="4"/>
      <c r="AA2" s="4"/>
      <c r="AB2" s="4"/>
      <c r="AD2" s="4"/>
      <c r="AE2" s="4"/>
      <c r="AF2" s="4"/>
      <c r="AG2" s="4"/>
      <c r="AH2" s="4"/>
      <c r="AI2" s="4"/>
      <c r="AJ2" s="4"/>
      <c r="AK2" s="4"/>
      <c r="AL2" s="4"/>
      <c r="AM2" s="4"/>
      <c r="AN2" s="4"/>
      <c r="AO2" s="4"/>
      <c r="AQ2" s="4"/>
      <c r="AR2" s="4"/>
      <c r="AS2" s="4"/>
      <c r="AT2" s="4"/>
      <c r="AU2" s="4"/>
      <c r="AV2" s="4"/>
      <c r="AW2" s="4"/>
      <c r="AX2" s="4"/>
      <c r="AY2" s="4"/>
      <c r="AZ2" s="4"/>
      <c r="BA2" s="4"/>
      <c r="BB2" s="4"/>
      <c r="CN2" s="211"/>
      <c r="CO2" s="211"/>
      <c r="CP2" s="211"/>
      <c r="CQ2" s="211"/>
      <c r="CR2" s="211"/>
      <c r="CS2" s="211"/>
      <c r="CT2" s="211"/>
      <c r="CU2" s="211"/>
      <c r="CV2" s="211"/>
      <c r="CW2" s="211"/>
      <c r="CX2" s="211"/>
      <c r="CY2" s="211"/>
      <c r="CZ2" s="211"/>
      <c r="DA2" s="211"/>
    </row>
    <row r="3" spans="1:105" s="6" customFormat="1" ht="19.5" customHeight="1" x14ac:dyDescent="0.2">
      <c r="A3" s="191" t="s">
        <v>188</v>
      </c>
      <c r="B3" s="146" t="s">
        <v>289</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CN3" s="207"/>
      <c r="CO3" s="207"/>
      <c r="CP3" s="207"/>
      <c r="CQ3" s="207"/>
      <c r="CR3" s="207"/>
      <c r="CS3" s="207"/>
      <c r="CT3" s="207"/>
      <c r="CU3" s="207"/>
      <c r="CV3" s="207"/>
      <c r="CW3" s="207"/>
      <c r="CX3" s="207"/>
      <c r="CY3" s="207"/>
      <c r="CZ3" s="207"/>
      <c r="DA3" s="207"/>
    </row>
    <row r="4" spans="1:105" s="6" customFormat="1" ht="6.75" customHeight="1" x14ac:dyDescent="0.2">
      <c r="CN4" s="207"/>
      <c r="CO4" s="207"/>
      <c r="CP4" s="207"/>
      <c r="CQ4" s="207" t="s">
        <v>237</v>
      </c>
      <c r="CR4" s="207" t="s">
        <v>238</v>
      </c>
      <c r="CS4" s="207"/>
      <c r="CT4" s="207"/>
      <c r="CU4" s="207"/>
      <c r="CV4" s="207"/>
      <c r="CW4" s="207"/>
      <c r="CX4" s="207"/>
      <c r="CY4" s="207"/>
      <c r="CZ4" s="207"/>
      <c r="DA4" s="207"/>
    </row>
    <row r="5" spans="1:105" s="22" customFormat="1" ht="38.25" x14ac:dyDescent="0.2">
      <c r="B5" s="144" t="s">
        <v>242</v>
      </c>
      <c r="C5" s="144" t="s">
        <v>290</v>
      </c>
      <c r="D5" s="144" t="s">
        <v>232</v>
      </c>
      <c r="E5" s="144" t="s">
        <v>233</v>
      </c>
      <c r="F5" s="144" t="s">
        <v>234</v>
      </c>
      <c r="G5" s="144" t="s">
        <v>235</v>
      </c>
      <c r="H5" s="145" t="s">
        <v>291</v>
      </c>
      <c r="I5" s="145" t="s">
        <v>292</v>
      </c>
      <c r="J5" s="145" t="s">
        <v>293</v>
      </c>
      <c r="K5" s="145" t="s">
        <v>294</v>
      </c>
      <c r="M5" s="205" t="s">
        <v>244</v>
      </c>
      <c r="N5" s="206"/>
      <c r="O5" s="206"/>
      <c r="P5" s="143" t="str">
        <f>C5</f>
        <v>Инвестицион-ный период</v>
      </c>
      <c r="Q5" s="143" t="str">
        <f>Вспомогательный!F21</f>
        <v>Сентябрь</v>
      </c>
      <c r="R5" s="143" t="str">
        <f>Вспомогательный!G21</f>
        <v>Октябрь</v>
      </c>
      <c r="S5" s="143" t="str">
        <f>Вспомогательный!H21</f>
        <v>Ноябрь</v>
      </c>
      <c r="T5" s="143" t="str">
        <f>Вспомогательный!I21</f>
        <v>Декабрь</v>
      </c>
      <c r="U5" s="143" t="str">
        <f>Вспомогательный!J21</f>
        <v>Январь</v>
      </c>
      <c r="V5" s="143" t="str">
        <f>Вспомогательный!K21</f>
        <v>Февраль</v>
      </c>
      <c r="W5" s="143" t="str">
        <f>Вспомогательный!L21</f>
        <v>Март</v>
      </c>
      <c r="X5" s="143" t="str">
        <f>Вспомогательный!M21</f>
        <v>Апрель</v>
      </c>
      <c r="Y5" s="143" t="str">
        <f>Вспомогательный!N21</f>
        <v>Май</v>
      </c>
      <c r="Z5" s="143" t="str">
        <f>Вспомогательный!O21</f>
        <v>Июнь</v>
      </c>
      <c r="AA5" s="143" t="str">
        <f>Вспомогательный!P21</f>
        <v>Июль</v>
      </c>
      <c r="AB5" s="143" t="str">
        <f>Вспомогательный!Q21</f>
        <v>Август</v>
      </c>
      <c r="AC5" s="192" t="str">
        <f>D5</f>
        <v>1 год проекта</v>
      </c>
      <c r="AD5" s="143" t="str">
        <f>Вспомогательный!S21</f>
        <v>Сентябрь</v>
      </c>
      <c r="AE5" s="143" t="str">
        <f>Вспомогательный!T21</f>
        <v>Октябрь</v>
      </c>
      <c r="AF5" s="143" t="str">
        <f>Вспомогательный!U21</f>
        <v>Ноябрь</v>
      </c>
      <c r="AG5" s="143" t="str">
        <f>Вспомогательный!V21</f>
        <v>Декабрь</v>
      </c>
      <c r="AH5" s="143" t="str">
        <f>Вспомогательный!W21</f>
        <v>Январь</v>
      </c>
      <c r="AI5" s="143" t="str">
        <f>Вспомогательный!X21</f>
        <v>Февраль</v>
      </c>
      <c r="AJ5" s="143" t="str">
        <f>Вспомогательный!Y21</f>
        <v>Март</v>
      </c>
      <c r="AK5" s="143" t="str">
        <f>Вспомогательный!Z21</f>
        <v>Апрель</v>
      </c>
      <c r="AL5" s="143" t="str">
        <f>Вспомогательный!AA21</f>
        <v>Май</v>
      </c>
      <c r="AM5" s="143" t="str">
        <f>Вспомогательный!AB21</f>
        <v>Июнь</v>
      </c>
      <c r="AN5" s="143" t="str">
        <f>Вспомогательный!AC21</f>
        <v>Июль</v>
      </c>
      <c r="AO5" s="143" t="str">
        <f>Вспомогательный!AD21</f>
        <v>Август</v>
      </c>
      <c r="AP5" s="192" t="str">
        <f>E5</f>
        <v>2 год проекта</v>
      </c>
      <c r="AQ5" s="143" t="str">
        <f>Вспомогательный!AF21</f>
        <v>Сентябрь</v>
      </c>
      <c r="AR5" s="143" t="str">
        <f>Вспомогательный!AG21</f>
        <v>Октябрь</v>
      </c>
      <c r="AS5" s="143" t="str">
        <f>Вспомогательный!AH21</f>
        <v>Ноябрь</v>
      </c>
      <c r="AT5" s="143" t="str">
        <f>Вспомогательный!AI21</f>
        <v>Декабрь</v>
      </c>
      <c r="AU5" s="143" t="str">
        <f>Вспомогательный!AJ21</f>
        <v>Январь</v>
      </c>
      <c r="AV5" s="143" t="str">
        <f>Вспомогательный!AK21</f>
        <v>Февраль</v>
      </c>
      <c r="AW5" s="143" t="str">
        <f>Вспомогательный!AL21</f>
        <v>Март</v>
      </c>
      <c r="AX5" s="143" t="str">
        <f>Вспомогательный!AM21</f>
        <v>Апрель</v>
      </c>
      <c r="AY5" s="143" t="str">
        <f>Вспомогательный!AN21</f>
        <v>Май</v>
      </c>
      <c r="AZ5" s="143" t="str">
        <f>Вспомогательный!AO21</f>
        <v>Июнь</v>
      </c>
      <c r="BA5" s="143" t="str">
        <f>Вспомогательный!AP21</f>
        <v>Июль</v>
      </c>
      <c r="BB5" s="143" t="str">
        <f>Вспомогательный!AQ21</f>
        <v>Август</v>
      </c>
      <c r="BC5" s="192" t="str">
        <f>F5</f>
        <v>3 год проекта</v>
      </c>
      <c r="BD5" s="192" t="str">
        <f>G5</f>
        <v>Итого результат проекта за 3 года</v>
      </c>
      <c r="CN5" s="207"/>
      <c r="CO5" s="207"/>
      <c r="CP5" s="207"/>
      <c r="CQ5" s="212">
        <f>Вспомогательный!C17</f>
        <v>8</v>
      </c>
      <c r="CR5" s="212">
        <f>Вспомогательный!D17</f>
        <v>0</v>
      </c>
      <c r="CS5" s="207"/>
      <c r="CT5" s="207"/>
      <c r="CU5" s="207"/>
      <c r="CV5" s="207"/>
      <c r="CW5" s="207"/>
      <c r="CX5" s="207"/>
      <c r="CY5" s="207"/>
      <c r="CZ5" s="207"/>
      <c r="DA5" s="207"/>
    </row>
    <row r="6" spans="1:105" s="6" customFormat="1" ht="12.75" x14ac:dyDescent="0.2">
      <c r="D6" s="103"/>
      <c r="E6" s="103"/>
      <c r="F6" s="103"/>
      <c r="G6" s="103"/>
      <c r="H6" s="137"/>
      <c r="I6" s="137"/>
      <c r="J6" s="137"/>
      <c r="K6" s="137"/>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CN6" s="207"/>
      <c r="CO6" s="207"/>
      <c r="CP6" s="207"/>
      <c r="CQ6" s="207"/>
      <c r="CR6" s="207"/>
      <c r="CS6" s="207"/>
      <c r="CT6" s="207"/>
      <c r="CU6" s="207"/>
      <c r="CV6" s="207"/>
      <c r="CW6" s="207"/>
      <c r="CX6" s="207"/>
      <c r="CY6" s="207"/>
      <c r="CZ6" s="207"/>
      <c r="DA6" s="207"/>
    </row>
    <row r="7" spans="1:105" s="92" customFormat="1" ht="12.75" x14ac:dyDescent="0.2">
      <c r="B7" s="92" t="s">
        <v>212</v>
      </c>
      <c r="C7" s="149">
        <v>0</v>
      </c>
      <c r="D7" s="149">
        <f>SUMIF(Q7:Y7,"&gt;0") / COUNTIF(Q7:Y7,"&gt;0")</f>
        <v>138.66666666666666</v>
      </c>
      <c r="E7" s="149">
        <f>SUMIF(AD7:AL7,"&gt;0") / COUNTIF(AD7:AL7,"&gt;0")</f>
        <v>170.66666666666666</v>
      </c>
      <c r="F7" s="149">
        <f>SUMIF(AQ7:AY7,"&gt;0") / COUNTIF(AQ7:AY7,"&gt;0")</f>
        <v>195.19999999999996</v>
      </c>
      <c r="G7" s="149">
        <f>MAX(Q7:BB7)</f>
        <v>201.6</v>
      </c>
      <c r="H7" s="150">
        <f>E7-D7</f>
        <v>32</v>
      </c>
      <c r="I7" s="151">
        <f>IF(D7&lt;&gt;0,E7/D7-1,0)</f>
        <v>0.23076923076923084</v>
      </c>
      <c r="J7" s="150">
        <f>F7-E7</f>
        <v>24.533333333333303</v>
      </c>
      <c r="K7" s="151">
        <f>IF(E7&lt;&gt;0,F7/E7-1,0)</f>
        <v>0.14374999999999982</v>
      </c>
      <c r="P7" s="152">
        <f>C7</f>
        <v>0</v>
      </c>
      <c r="Q7" s="152">
        <f>Вспомогательный!F42</f>
        <v>83.999999999999986</v>
      </c>
      <c r="R7" s="152">
        <f>Вспомогательный!G42</f>
        <v>120</v>
      </c>
      <c r="S7" s="152">
        <f>Вспомогательный!H42</f>
        <v>132</v>
      </c>
      <c r="T7" s="152">
        <f>Вспомогательный!I42</f>
        <v>156</v>
      </c>
      <c r="U7" s="152">
        <f>Вспомогательный!J42</f>
        <v>144</v>
      </c>
      <c r="V7" s="152">
        <f>Вспомогательный!K42</f>
        <v>156</v>
      </c>
      <c r="W7" s="152">
        <f>Вспомогательный!L42</f>
        <v>156</v>
      </c>
      <c r="X7" s="152">
        <f>Вспомогательный!M42</f>
        <v>156</v>
      </c>
      <c r="Y7" s="152">
        <f>Вспомогательный!N42</f>
        <v>144</v>
      </c>
      <c r="Z7" s="152">
        <f>IF(Вводные!$BG$17=Вспомогательный!$I$17,0,'Дополнительные услуги'!$D$22)</f>
        <v>9</v>
      </c>
      <c r="AA7" s="152">
        <f>IF(Вводные!$BG$17=Вспомогательный!$I$17,0,'Дополнительные услуги'!$D$22)</f>
        <v>9</v>
      </c>
      <c r="AB7" s="152">
        <f>IF(Вводные!$BG$17=Вспомогательный!$I$17,0,'Дополнительные услуги'!$D$22)</f>
        <v>9</v>
      </c>
      <c r="AC7" s="149">
        <f>D7</f>
        <v>138.66666666666666</v>
      </c>
      <c r="AD7" s="152">
        <f>Вспомогательный!S42</f>
        <v>163.19999999999999</v>
      </c>
      <c r="AE7" s="152">
        <f>Вспомогательный!T42</f>
        <v>175.2</v>
      </c>
      <c r="AF7" s="152">
        <f>Вспомогательный!U42</f>
        <v>175.2</v>
      </c>
      <c r="AG7" s="152">
        <f>Вспомогательный!V42</f>
        <v>175.2</v>
      </c>
      <c r="AH7" s="152">
        <f>Вспомогательный!W42</f>
        <v>160.80000000000001</v>
      </c>
      <c r="AI7" s="152">
        <f>Вспомогательный!X42</f>
        <v>175.2</v>
      </c>
      <c r="AJ7" s="152">
        <f>Вспомогательный!Y42</f>
        <v>175.2</v>
      </c>
      <c r="AK7" s="152">
        <f>Вспомогательный!Z42</f>
        <v>175.2</v>
      </c>
      <c r="AL7" s="152">
        <f>Вспомогательный!AA42</f>
        <v>160.80000000000001</v>
      </c>
      <c r="AM7" s="152">
        <f>IF(Вводные!$BG$17=Вспомогательный!$I$17,0,'Дополнительные услуги'!$D$22)</f>
        <v>9</v>
      </c>
      <c r="AN7" s="152">
        <f>IF(Вводные!$BG$17=Вспомогательный!$I$17,0,'Дополнительные услуги'!$D$22)</f>
        <v>9</v>
      </c>
      <c r="AO7" s="152">
        <f>IF(Вводные!$BG$17=Вспомогательный!$I$17,0,'Дополнительные услуги'!$D$22)</f>
        <v>9</v>
      </c>
      <c r="AP7" s="149">
        <f>E7</f>
        <v>170.66666666666666</v>
      </c>
      <c r="AQ7" s="152">
        <f>Вспомогательный!AF42</f>
        <v>182.40000000000003</v>
      </c>
      <c r="AR7" s="152">
        <f>Вспомогательный!AG42</f>
        <v>196.8</v>
      </c>
      <c r="AS7" s="152">
        <f>Вспомогательный!AH42</f>
        <v>201.6</v>
      </c>
      <c r="AT7" s="152">
        <f>Вспомогательный!AI42</f>
        <v>201.6</v>
      </c>
      <c r="AU7" s="152">
        <f>Вспомогательный!AJ42</f>
        <v>184.8</v>
      </c>
      <c r="AV7" s="152">
        <f>Вспомогательный!AK42</f>
        <v>201.6</v>
      </c>
      <c r="AW7" s="152">
        <f>Вспомогательный!AL42</f>
        <v>201.6</v>
      </c>
      <c r="AX7" s="152">
        <f>Вспомогательный!AM42</f>
        <v>201.6</v>
      </c>
      <c r="AY7" s="152">
        <f>Вспомогательный!AN42</f>
        <v>184.8</v>
      </c>
      <c r="AZ7" s="152">
        <f>IF(Вводные!$BG$17=Вспомогательный!$I$17,0,'Дополнительные услуги'!$D$22)</f>
        <v>9</v>
      </c>
      <c r="BA7" s="152">
        <f>IF(Вводные!$BG$17=Вспомогательный!$I$17,0,'Дополнительные услуги'!$D$22)</f>
        <v>9</v>
      </c>
      <c r="BB7" s="152">
        <f>IF(Вводные!$BG$17=Вспомогательный!$I$17,0,'Дополнительные услуги'!$D$22)</f>
        <v>9</v>
      </c>
      <c r="BC7" s="149">
        <f t="shared" ref="BC7:BD11" si="0">F7</f>
        <v>195.19999999999996</v>
      </c>
      <c r="BD7" s="149">
        <f t="shared" si="0"/>
        <v>201.6</v>
      </c>
      <c r="CN7" s="207"/>
      <c r="CO7" s="207"/>
      <c r="CP7" s="207"/>
      <c r="CQ7" s="207"/>
      <c r="CR7" s="207"/>
      <c r="CS7" s="207"/>
      <c r="CT7" s="207"/>
      <c r="CU7" s="207"/>
      <c r="CV7" s="207"/>
      <c r="CW7" s="207"/>
      <c r="CX7" s="207"/>
      <c r="CY7" s="207"/>
      <c r="CZ7" s="207"/>
      <c r="DA7" s="207"/>
    </row>
    <row r="8" spans="1:105" s="129" customFormat="1" x14ac:dyDescent="0.25">
      <c r="A8" s="153"/>
      <c r="B8" s="154" t="s">
        <v>66</v>
      </c>
      <c r="C8" s="155">
        <f t="shared" ref="C8:E8" si="1">SUM(C9:C11)</f>
        <v>0</v>
      </c>
      <c r="D8" s="155">
        <f t="shared" si="1"/>
        <v>7872600</v>
      </c>
      <c r="E8" s="155">
        <f t="shared" si="1"/>
        <v>9415200</v>
      </c>
      <c r="F8" s="155">
        <f>SUM(F9:F11)</f>
        <v>10597860</v>
      </c>
      <c r="G8" s="155">
        <f>C8+D8+E8+F8</f>
        <v>27885660</v>
      </c>
      <c r="H8" s="156">
        <f>E8-D8</f>
        <v>1542600</v>
      </c>
      <c r="I8" s="157">
        <f>IF(D8&lt;&gt;0,E8/D8-1,0)</f>
        <v>0.19594543098849182</v>
      </c>
      <c r="J8" s="156">
        <f>F8-E8</f>
        <v>1182660</v>
      </c>
      <c r="K8" s="157">
        <f>IF(E8&lt;&gt;0,F8/E8-1,0)</f>
        <v>0.12561177670150392</v>
      </c>
      <c r="L8" s="153"/>
      <c r="M8" s="153"/>
      <c r="N8" s="153"/>
      <c r="O8" s="153"/>
      <c r="P8" s="155">
        <f>C8</f>
        <v>0</v>
      </c>
      <c r="Q8" s="155">
        <f t="shared" ref="Q8:AB8" si="2">SUM(Q9:Q11)</f>
        <v>449924.99999999994</v>
      </c>
      <c r="R8" s="155">
        <f t="shared" si="2"/>
        <v>642750</v>
      </c>
      <c r="S8" s="155">
        <f t="shared" si="2"/>
        <v>707025</v>
      </c>
      <c r="T8" s="155">
        <f t="shared" si="2"/>
        <v>883575</v>
      </c>
      <c r="U8" s="155">
        <f t="shared" si="2"/>
        <v>819300</v>
      </c>
      <c r="V8" s="155">
        <f t="shared" si="2"/>
        <v>883575</v>
      </c>
      <c r="W8" s="155">
        <f t="shared" si="2"/>
        <v>883575</v>
      </c>
      <c r="X8" s="155">
        <f t="shared" si="2"/>
        <v>883575</v>
      </c>
      <c r="Y8" s="155">
        <f t="shared" si="2"/>
        <v>819300</v>
      </c>
      <c r="Z8" s="155">
        <f t="shared" si="2"/>
        <v>300000</v>
      </c>
      <c r="AA8" s="155">
        <f t="shared" si="2"/>
        <v>300000</v>
      </c>
      <c r="AB8" s="155">
        <f t="shared" si="2"/>
        <v>300000</v>
      </c>
      <c r="AC8" s="155">
        <f>D8</f>
        <v>7872600</v>
      </c>
      <c r="AD8" s="155">
        <f t="shared" ref="AD8:AO8" si="3">SUM(AD9:AD11)</f>
        <v>874139.99999999988</v>
      </c>
      <c r="AE8" s="155">
        <f t="shared" si="3"/>
        <v>938414.99999999988</v>
      </c>
      <c r="AF8" s="155">
        <f t="shared" si="3"/>
        <v>938414.99999999988</v>
      </c>
      <c r="AG8" s="155">
        <f t="shared" si="3"/>
        <v>986414.99999999988</v>
      </c>
      <c r="AH8" s="155">
        <f t="shared" si="3"/>
        <v>909285.00000000012</v>
      </c>
      <c r="AI8" s="155">
        <f t="shared" si="3"/>
        <v>986414.99999999988</v>
      </c>
      <c r="AJ8" s="155">
        <f t="shared" si="3"/>
        <v>986414.99999999988</v>
      </c>
      <c r="AK8" s="155">
        <f t="shared" si="3"/>
        <v>986414.99999999988</v>
      </c>
      <c r="AL8" s="155">
        <f t="shared" si="3"/>
        <v>909285.00000000012</v>
      </c>
      <c r="AM8" s="155">
        <f t="shared" si="3"/>
        <v>300000</v>
      </c>
      <c r="AN8" s="155">
        <f t="shared" si="3"/>
        <v>300000</v>
      </c>
      <c r="AO8" s="155">
        <f t="shared" si="3"/>
        <v>300000</v>
      </c>
      <c r="AP8" s="155">
        <f>E8</f>
        <v>9415200</v>
      </c>
      <c r="AQ8" s="155">
        <f t="shared" ref="AQ8:BB8" si="4">SUM(AQ9:AQ11)</f>
        <v>976980.00000000023</v>
      </c>
      <c r="AR8" s="155">
        <f t="shared" si="4"/>
        <v>1054110</v>
      </c>
      <c r="AS8" s="155">
        <f t="shared" si="4"/>
        <v>1079820</v>
      </c>
      <c r="AT8" s="155">
        <f t="shared" si="4"/>
        <v>1127820</v>
      </c>
      <c r="AU8" s="155">
        <f t="shared" si="4"/>
        <v>1037835.0000000001</v>
      </c>
      <c r="AV8" s="155">
        <f t="shared" si="4"/>
        <v>1127820</v>
      </c>
      <c r="AW8" s="155">
        <f t="shared" si="4"/>
        <v>1127820</v>
      </c>
      <c r="AX8" s="155">
        <f t="shared" si="4"/>
        <v>1127820</v>
      </c>
      <c r="AY8" s="155">
        <f t="shared" si="4"/>
        <v>1037835.0000000001</v>
      </c>
      <c r="AZ8" s="155">
        <f t="shared" si="4"/>
        <v>300000</v>
      </c>
      <c r="BA8" s="155">
        <f t="shared" si="4"/>
        <v>300000</v>
      </c>
      <c r="BB8" s="155">
        <f t="shared" si="4"/>
        <v>300000</v>
      </c>
      <c r="BC8" s="155">
        <f t="shared" si="0"/>
        <v>10597860</v>
      </c>
      <c r="BD8" s="155">
        <f t="shared" si="0"/>
        <v>27885660</v>
      </c>
      <c r="CN8" s="190"/>
      <c r="CO8" s="190"/>
      <c r="CP8" s="190"/>
      <c r="CQ8" s="190"/>
      <c r="CR8" s="190"/>
      <c r="CS8" s="190"/>
      <c r="CT8" s="190"/>
      <c r="CU8" s="190"/>
      <c r="CV8" s="190"/>
      <c r="CW8" s="190"/>
      <c r="CX8" s="190"/>
      <c r="CY8" s="190"/>
      <c r="CZ8" s="190"/>
      <c r="DA8" s="190"/>
    </row>
    <row r="9" spans="1:105" s="158" customFormat="1" ht="12" x14ac:dyDescent="0.2">
      <c r="B9" s="159" t="s">
        <v>214</v>
      </c>
      <c r="C9" s="160">
        <v>0</v>
      </c>
      <c r="D9" s="160">
        <f>SUM(Q9:AB9)</f>
        <v>6684600</v>
      </c>
      <c r="E9" s="160">
        <f>SUM(AD9:AO9)</f>
        <v>8227200</v>
      </c>
      <c r="F9" s="160">
        <f>SUM(AQ9:BB9)</f>
        <v>9409860</v>
      </c>
      <c r="G9" s="160">
        <f>C9+D9+E9+F9</f>
        <v>24321660</v>
      </c>
      <c r="H9" s="148">
        <f>E9-D9</f>
        <v>1542600</v>
      </c>
      <c r="I9" s="139">
        <f>IF(D9&lt;&gt;0,E9/D9-1,0)</f>
        <v>0.23076923076923084</v>
      </c>
      <c r="J9" s="148">
        <f>F9-E9</f>
        <v>1182660</v>
      </c>
      <c r="K9" s="139">
        <f>IF(E9&lt;&gt;0,F9/E9-1,0)</f>
        <v>0.14375000000000004</v>
      </c>
      <c r="P9" s="160">
        <f>C9</f>
        <v>0</v>
      </c>
      <c r="Q9" s="160">
        <f>Вспомогательный!F43</f>
        <v>449924.99999999994</v>
      </c>
      <c r="R9" s="160">
        <f>Вспомогательный!G43</f>
        <v>642750</v>
      </c>
      <c r="S9" s="160">
        <f>Вспомогательный!H43</f>
        <v>707025</v>
      </c>
      <c r="T9" s="160">
        <f>Вспомогательный!I43</f>
        <v>835575</v>
      </c>
      <c r="U9" s="160">
        <f>Вспомогательный!J43</f>
        <v>771300</v>
      </c>
      <c r="V9" s="160">
        <f>Вспомогательный!K43</f>
        <v>835575</v>
      </c>
      <c r="W9" s="160">
        <f>Вспомогательный!L43</f>
        <v>835575</v>
      </c>
      <c r="X9" s="160">
        <f>Вспомогательный!M43</f>
        <v>835575</v>
      </c>
      <c r="Y9" s="160">
        <f>Вспомогательный!N43</f>
        <v>771300</v>
      </c>
      <c r="Z9" s="160">
        <f>Вспомогательный!O43</f>
        <v>0</v>
      </c>
      <c r="AA9" s="160">
        <f>Вспомогательный!P43</f>
        <v>0</v>
      </c>
      <c r="AB9" s="160">
        <f>Вспомогательный!Q43</f>
        <v>0</v>
      </c>
      <c r="AC9" s="161">
        <f>D9</f>
        <v>6684600</v>
      </c>
      <c r="AD9" s="160">
        <f>Вспомогательный!S43</f>
        <v>874139.99999999988</v>
      </c>
      <c r="AE9" s="160">
        <f>Вспомогательный!T43</f>
        <v>938414.99999999988</v>
      </c>
      <c r="AF9" s="160">
        <f>Вспомогательный!U43</f>
        <v>938414.99999999988</v>
      </c>
      <c r="AG9" s="160">
        <f>Вспомогательный!V43</f>
        <v>938414.99999999988</v>
      </c>
      <c r="AH9" s="160">
        <f>Вспомогательный!W43</f>
        <v>861285.00000000012</v>
      </c>
      <c r="AI9" s="160">
        <f>Вспомогательный!X43</f>
        <v>938414.99999999988</v>
      </c>
      <c r="AJ9" s="160">
        <f>Вспомогательный!Y43</f>
        <v>938414.99999999988</v>
      </c>
      <c r="AK9" s="160">
        <f>Вспомогательный!Z43</f>
        <v>938414.99999999988</v>
      </c>
      <c r="AL9" s="160">
        <f>Вспомогательный!AA43</f>
        <v>861285.00000000012</v>
      </c>
      <c r="AM9" s="160">
        <f>Вспомогательный!AB43</f>
        <v>0</v>
      </c>
      <c r="AN9" s="160">
        <f>Вспомогательный!AC43</f>
        <v>0</v>
      </c>
      <c r="AO9" s="160">
        <f>Вспомогательный!AD43</f>
        <v>0</v>
      </c>
      <c r="AP9" s="161">
        <f>E9</f>
        <v>8227200</v>
      </c>
      <c r="AQ9" s="160">
        <f>Вспомогательный!AF43</f>
        <v>976980.00000000023</v>
      </c>
      <c r="AR9" s="160">
        <f>Вспомогательный!AG43</f>
        <v>1054110</v>
      </c>
      <c r="AS9" s="160">
        <f>Вспомогательный!AH43</f>
        <v>1079820</v>
      </c>
      <c r="AT9" s="160">
        <f>Вспомогательный!AI43</f>
        <v>1079820</v>
      </c>
      <c r="AU9" s="160">
        <f>Вспомогательный!AJ43</f>
        <v>989835.00000000012</v>
      </c>
      <c r="AV9" s="160">
        <f>Вспомогательный!AK43</f>
        <v>1079820</v>
      </c>
      <c r="AW9" s="160">
        <f>Вспомогательный!AL43</f>
        <v>1079820</v>
      </c>
      <c r="AX9" s="160">
        <f>Вспомогательный!AM43</f>
        <v>1079820</v>
      </c>
      <c r="AY9" s="160">
        <f>Вспомогательный!AN43</f>
        <v>989835.00000000012</v>
      </c>
      <c r="AZ9" s="160">
        <f>Вспомогательный!AO43</f>
        <v>0</v>
      </c>
      <c r="BA9" s="160">
        <f>Вспомогательный!AP43</f>
        <v>0</v>
      </c>
      <c r="BB9" s="160">
        <f>Вспомогательный!AQ43</f>
        <v>0</v>
      </c>
      <c r="BC9" s="161">
        <f t="shared" si="0"/>
        <v>9409860</v>
      </c>
      <c r="BD9" s="161">
        <f t="shared" si="0"/>
        <v>24321660</v>
      </c>
      <c r="CN9" s="213"/>
      <c r="CO9" s="213"/>
      <c r="CP9" s="213"/>
      <c r="CQ9" s="213"/>
      <c r="CR9" s="213"/>
      <c r="CS9" s="213"/>
      <c r="CT9" s="213"/>
      <c r="CU9" s="213"/>
      <c r="CV9" s="213"/>
      <c r="CW9" s="213"/>
      <c r="CX9" s="213"/>
      <c r="CY9" s="213"/>
      <c r="CZ9" s="213"/>
      <c r="DA9" s="213"/>
    </row>
    <row r="10" spans="1:105" s="158" customFormat="1" ht="12" x14ac:dyDescent="0.2">
      <c r="B10" s="159" t="s">
        <v>215</v>
      </c>
      <c r="C10" s="160">
        <v>0</v>
      </c>
      <c r="D10" s="160">
        <f>SUM(Q10:AB10)</f>
        <v>288000</v>
      </c>
      <c r="E10" s="160">
        <f>SUM(AD10:AO10)</f>
        <v>288000</v>
      </c>
      <c r="F10" s="160">
        <f>SUM(AQ10:BB10)</f>
        <v>288000</v>
      </c>
      <c r="G10" s="160">
        <f>C10+D10+E10+F10</f>
        <v>864000</v>
      </c>
      <c r="H10" s="148">
        <f>E10-D10</f>
        <v>0</v>
      </c>
      <c r="I10" s="139">
        <f>IF(D10&lt;&gt;0,E10/D10-1,0)</f>
        <v>0</v>
      </c>
      <c r="J10" s="148">
        <f>F10-E10</f>
        <v>0</v>
      </c>
      <c r="K10" s="139">
        <f>IF(E10&lt;&gt;0,F10/E10-1,0)</f>
        <v>0</v>
      </c>
      <c r="P10" s="160">
        <f>C10</f>
        <v>0</v>
      </c>
      <c r="Q10" s="160">
        <f>Вспомогательный!F87</f>
        <v>0</v>
      </c>
      <c r="R10" s="160">
        <f>Вспомогательный!G87</f>
        <v>0</v>
      </c>
      <c r="S10" s="160">
        <f>Вспомогательный!H87</f>
        <v>0</v>
      </c>
      <c r="T10" s="160">
        <f>Вспомогательный!I87</f>
        <v>48000</v>
      </c>
      <c r="U10" s="160">
        <f>Вспомогательный!J87</f>
        <v>48000</v>
      </c>
      <c r="V10" s="160">
        <f>Вспомогательный!K87</f>
        <v>48000</v>
      </c>
      <c r="W10" s="160">
        <f>Вспомогательный!L87</f>
        <v>48000</v>
      </c>
      <c r="X10" s="160">
        <f>Вспомогательный!M87</f>
        <v>48000</v>
      </c>
      <c r="Y10" s="160">
        <f>Вспомогательный!N87</f>
        <v>48000</v>
      </c>
      <c r="Z10" s="160">
        <f>Вспомогательный!O87</f>
        <v>0</v>
      </c>
      <c r="AA10" s="160">
        <f>Вспомогательный!P87</f>
        <v>0</v>
      </c>
      <c r="AB10" s="160">
        <f>Вспомогательный!Q87</f>
        <v>0</v>
      </c>
      <c r="AC10" s="161">
        <f>D10</f>
        <v>288000</v>
      </c>
      <c r="AD10" s="160">
        <f>Вспомогательный!S87</f>
        <v>0</v>
      </c>
      <c r="AE10" s="160">
        <f>Вспомогательный!T87</f>
        <v>0</v>
      </c>
      <c r="AF10" s="160">
        <f>Вспомогательный!U87</f>
        <v>0</v>
      </c>
      <c r="AG10" s="160">
        <f>Вспомогательный!V87</f>
        <v>48000</v>
      </c>
      <c r="AH10" s="160">
        <f>Вспомогательный!W87</f>
        <v>48000</v>
      </c>
      <c r="AI10" s="160">
        <f>Вспомогательный!X87</f>
        <v>48000</v>
      </c>
      <c r="AJ10" s="160">
        <f>Вспомогательный!Y87</f>
        <v>48000</v>
      </c>
      <c r="AK10" s="160">
        <f>Вспомогательный!Z87</f>
        <v>48000</v>
      </c>
      <c r="AL10" s="160">
        <f>Вспомогательный!AA87</f>
        <v>48000</v>
      </c>
      <c r="AM10" s="160">
        <f>Вспомогательный!AB87</f>
        <v>0</v>
      </c>
      <c r="AN10" s="160">
        <f>Вспомогательный!AC87</f>
        <v>0</v>
      </c>
      <c r="AO10" s="160">
        <f>Вспомогательный!AD87</f>
        <v>0</v>
      </c>
      <c r="AP10" s="161">
        <f>E10</f>
        <v>288000</v>
      </c>
      <c r="AQ10" s="160">
        <f>Вспомогательный!AF87</f>
        <v>0</v>
      </c>
      <c r="AR10" s="160">
        <f>Вспомогательный!AG87</f>
        <v>0</v>
      </c>
      <c r="AS10" s="160">
        <f>Вспомогательный!AH87</f>
        <v>0</v>
      </c>
      <c r="AT10" s="160">
        <f>Вспомогательный!AI87</f>
        <v>48000</v>
      </c>
      <c r="AU10" s="160">
        <f>Вспомогательный!AJ87</f>
        <v>48000</v>
      </c>
      <c r="AV10" s="160">
        <f>Вспомогательный!AK87</f>
        <v>48000</v>
      </c>
      <c r="AW10" s="160">
        <f>Вспомогательный!AL87</f>
        <v>48000</v>
      </c>
      <c r="AX10" s="160">
        <f>Вспомогательный!AM87</f>
        <v>48000</v>
      </c>
      <c r="AY10" s="160">
        <f>Вспомогательный!AN87</f>
        <v>48000</v>
      </c>
      <c r="AZ10" s="160">
        <f>Вспомогательный!AO87</f>
        <v>0</v>
      </c>
      <c r="BA10" s="160">
        <f>Вспомогательный!AP87</f>
        <v>0</v>
      </c>
      <c r="BB10" s="160">
        <f>Вспомогательный!AQ87</f>
        <v>0</v>
      </c>
      <c r="BC10" s="161">
        <f t="shared" si="0"/>
        <v>288000</v>
      </c>
      <c r="BD10" s="161">
        <f t="shared" si="0"/>
        <v>864000</v>
      </c>
      <c r="CN10" s="213"/>
      <c r="CO10" s="213"/>
      <c r="CP10" s="213"/>
      <c r="CQ10" s="213"/>
      <c r="CR10" s="213"/>
      <c r="CS10" s="213"/>
      <c r="CT10" s="213"/>
      <c r="CU10" s="213"/>
      <c r="CV10" s="213"/>
      <c r="CW10" s="213"/>
      <c r="CX10" s="213"/>
      <c r="CY10" s="213"/>
      <c r="CZ10" s="213"/>
      <c r="DA10" s="213"/>
    </row>
    <row r="11" spans="1:105" s="158" customFormat="1" ht="12" x14ac:dyDescent="0.2">
      <c r="B11" s="159" t="s">
        <v>216</v>
      </c>
      <c r="C11" s="160">
        <v>0</v>
      </c>
      <c r="D11" s="160">
        <f>SUM(Q11:AB11)</f>
        <v>900000</v>
      </c>
      <c r="E11" s="160">
        <f>SUM(AD11:AO11)</f>
        <v>900000</v>
      </c>
      <c r="F11" s="160">
        <f>SUM(AQ11:BB11)</f>
        <v>900000</v>
      </c>
      <c r="G11" s="160">
        <f>C11+D11+E11+F11</f>
        <v>2700000</v>
      </c>
      <c r="H11" s="148">
        <f>E11-D11</f>
        <v>0</v>
      </c>
      <c r="I11" s="139">
        <f>IF(D11&lt;&gt;0,E11/D11-1,0)</f>
        <v>0</v>
      </c>
      <c r="J11" s="148">
        <f>F11-E11</f>
        <v>0</v>
      </c>
      <c r="K11" s="139">
        <f>IF(E11&lt;&gt;0,F11/E11-1,0)</f>
        <v>0</v>
      </c>
      <c r="P11" s="160">
        <f>C11</f>
        <v>0</v>
      </c>
      <c r="Q11" s="160">
        <f>Вспомогательный!F95</f>
        <v>0</v>
      </c>
      <c r="R11" s="160">
        <f>Вспомогательный!G95</f>
        <v>0</v>
      </c>
      <c r="S11" s="160">
        <f>Вспомогательный!H95</f>
        <v>0</v>
      </c>
      <c r="T11" s="160">
        <f>Вспомогательный!I95</f>
        <v>0</v>
      </c>
      <c r="U11" s="160">
        <f>Вспомогательный!J95</f>
        <v>0</v>
      </c>
      <c r="V11" s="160">
        <f>Вспомогательный!K95</f>
        <v>0</v>
      </c>
      <c r="W11" s="160">
        <f>Вспомогательный!L95</f>
        <v>0</v>
      </c>
      <c r="X11" s="160">
        <f>Вспомогательный!M95</f>
        <v>0</v>
      </c>
      <c r="Y11" s="160">
        <f>Вспомогательный!N95</f>
        <v>0</v>
      </c>
      <c r="Z11" s="160">
        <f>Вспомогательный!O95</f>
        <v>300000</v>
      </c>
      <c r="AA11" s="160">
        <f>Вспомогательный!P95</f>
        <v>300000</v>
      </c>
      <c r="AB11" s="160">
        <f>Вспомогательный!Q95</f>
        <v>300000</v>
      </c>
      <c r="AC11" s="161">
        <f>D11</f>
        <v>900000</v>
      </c>
      <c r="AD11" s="160">
        <f>Вспомогательный!S95</f>
        <v>0</v>
      </c>
      <c r="AE11" s="160">
        <f>Вспомогательный!T95</f>
        <v>0</v>
      </c>
      <c r="AF11" s="160">
        <f>Вспомогательный!U95</f>
        <v>0</v>
      </c>
      <c r="AG11" s="160">
        <f>Вспомогательный!V95</f>
        <v>0</v>
      </c>
      <c r="AH11" s="160">
        <f>Вспомогательный!W95</f>
        <v>0</v>
      </c>
      <c r="AI11" s="160">
        <f>Вспомогательный!X95</f>
        <v>0</v>
      </c>
      <c r="AJ11" s="160">
        <f>Вспомогательный!Y95</f>
        <v>0</v>
      </c>
      <c r="AK11" s="160">
        <f>Вспомогательный!Z95</f>
        <v>0</v>
      </c>
      <c r="AL11" s="160">
        <f>Вспомогательный!AA95</f>
        <v>0</v>
      </c>
      <c r="AM11" s="160">
        <f>Вспомогательный!AB95</f>
        <v>300000</v>
      </c>
      <c r="AN11" s="160">
        <f>Вспомогательный!AC95</f>
        <v>300000</v>
      </c>
      <c r="AO11" s="160">
        <f>Вспомогательный!AD95</f>
        <v>300000</v>
      </c>
      <c r="AP11" s="161">
        <f>E11</f>
        <v>900000</v>
      </c>
      <c r="AQ11" s="160">
        <f>Вспомогательный!AF95</f>
        <v>0</v>
      </c>
      <c r="AR11" s="160">
        <f>Вспомогательный!AG95</f>
        <v>0</v>
      </c>
      <c r="AS11" s="160">
        <f>Вспомогательный!AH95</f>
        <v>0</v>
      </c>
      <c r="AT11" s="160">
        <f>Вспомогательный!AI95</f>
        <v>0</v>
      </c>
      <c r="AU11" s="160">
        <f>Вспомогательный!AJ95</f>
        <v>0</v>
      </c>
      <c r="AV11" s="160">
        <f>Вспомогательный!AK95</f>
        <v>0</v>
      </c>
      <c r="AW11" s="160">
        <f>Вспомогательный!AL95</f>
        <v>0</v>
      </c>
      <c r="AX11" s="160">
        <f>Вспомогательный!AM95</f>
        <v>0</v>
      </c>
      <c r="AY11" s="160">
        <f>Вспомогательный!AN95</f>
        <v>0</v>
      </c>
      <c r="AZ11" s="160">
        <f>Вспомогательный!AO95</f>
        <v>300000</v>
      </c>
      <c r="BA11" s="160">
        <f>Вспомогательный!AP95</f>
        <v>300000</v>
      </c>
      <c r="BB11" s="160">
        <f>Вспомогательный!AQ95</f>
        <v>300000</v>
      </c>
      <c r="BC11" s="161">
        <f t="shared" si="0"/>
        <v>900000</v>
      </c>
      <c r="BD11" s="161">
        <f t="shared" si="0"/>
        <v>2700000</v>
      </c>
      <c r="CN11" s="213"/>
      <c r="CO11" s="213"/>
      <c r="CP11" s="213"/>
      <c r="CQ11" s="213"/>
      <c r="CR11" s="213"/>
      <c r="CS11" s="213"/>
      <c r="CT11" s="213"/>
      <c r="CU11" s="213"/>
      <c r="CV11" s="213"/>
      <c r="CW11" s="213"/>
      <c r="CX11" s="213"/>
      <c r="CY11" s="213"/>
      <c r="CZ11" s="213"/>
      <c r="DA11" s="213"/>
    </row>
    <row r="12" spans="1:105" s="158" customFormat="1" ht="7.5" customHeight="1" x14ac:dyDescent="0.2">
      <c r="B12" s="159"/>
      <c r="C12" s="160"/>
      <c r="D12" s="160"/>
      <c r="E12" s="160"/>
      <c r="F12" s="160"/>
      <c r="G12" s="160"/>
      <c r="H12" s="148"/>
      <c r="I12" s="139"/>
      <c r="J12" s="148"/>
      <c r="K12" s="139"/>
      <c r="P12" s="160"/>
      <c r="Q12" s="160"/>
      <c r="R12" s="160"/>
      <c r="S12" s="160"/>
      <c r="T12" s="160"/>
      <c r="U12" s="160"/>
      <c r="V12" s="160"/>
      <c r="W12" s="160"/>
      <c r="X12" s="160"/>
      <c r="Y12" s="160"/>
      <c r="Z12" s="160"/>
      <c r="AA12" s="160"/>
      <c r="AB12" s="160"/>
      <c r="AC12" s="161"/>
      <c r="AD12" s="160"/>
      <c r="AE12" s="160"/>
      <c r="AF12" s="160"/>
      <c r="AG12" s="160"/>
      <c r="AH12" s="160"/>
      <c r="AI12" s="160"/>
      <c r="AJ12" s="160"/>
      <c r="AK12" s="160"/>
      <c r="AL12" s="160"/>
      <c r="AM12" s="160"/>
      <c r="AN12" s="160"/>
      <c r="AO12" s="160"/>
      <c r="AP12" s="161"/>
      <c r="AQ12" s="160"/>
      <c r="AR12" s="160"/>
      <c r="AS12" s="160"/>
      <c r="AT12" s="160"/>
      <c r="AU12" s="160"/>
      <c r="AV12" s="160"/>
      <c r="AW12" s="160"/>
      <c r="AX12" s="160"/>
      <c r="AY12" s="160"/>
      <c r="AZ12" s="160"/>
      <c r="BA12" s="160"/>
      <c r="BB12" s="160"/>
      <c r="BC12" s="161"/>
      <c r="BD12" s="161"/>
      <c r="CN12" s="213"/>
      <c r="CO12" s="213"/>
      <c r="CP12" s="213"/>
      <c r="CQ12" s="213"/>
      <c r="CR12" s="213"/>
      <c r="CS12" s="213"/>
      <c r="CT12" s="213"/>
      <c r="CU12" s="213"/>
      <c r="CV12" s="213"/>
      <c r="CW12" s="213"/>
      <c r="CX12" s="213"/>
      <c r="CY12" s="213"/>
      <c r="CZ12" s="213"/>
      <c r="DA12" s="213"/>
    </row>
    <row r="13" spans="1:105" s="129" customFormat="1" x14ac:dyDescent="0.25">
      <c r="A13" s="153"/>
      <c r="B13" s="154" t="s">
        <v>288</v>
      </c>
      <c r="C13" s="155">
        <f ca="1">C36+C16+C19+C25+C26+C37+C27+C31</f>
        <v>831740</v>
      </c>
      <c r="D13" s="155">
        <f ca="1">D36+D16+D19+D25+D26+D37+D27+D31</f>
        <v>3812602.84</v>
      </c>
      <c r="E13" s="155">
        <f ca="1">E36+E16+E19+E25+E26+E37+E27+E31</f>
        <v>3989689.6999999997</v>
      </c>
      <c r="F13" s="155">
        <f>F36+F16+F19+F25+F26+F37+F27+F31</f>
        <v>3923122.9699999997</v>
      </c>
      <c r="G13" s="155">
        <f ca="1">G36+G16+G19+G25+G26+G37+G27+G31</f>
        <v>12557155.51</v>
      </c>
      <c r="H13" s="156">
        <f ca="1">E13-D13</f>
        <v>177086.85999999987</v>
      </c>
      <c r="I13" s="157">
        <f ca="1">IF(D13&lt;&gt;0,E13/D13-1,0)</f>
        <v>4.6447759557352697E-2</v>
      </c>
      <c r="J13" s="156">
        <f ca="1">F13-E13</f>
        <v>-66566.729999999981</v>
      </c>
      <c r="K13" s="157">
        <f ca="1">IF(E13&lt;&gt;0,F13/E13-1,0)</f>
        <v>-1.6684688536053316E-2</v>
      </c>
      <c r="L13" s="153"/>
      <c r="M13" s="153"/>
      <c r="N13" s="153"/>
      <c r="O13" s="153"/>
      <c r="P13" s="155">
        <f t="shared" ref="P13:BD13" ca="1" si="5">P36+P16+P19+P25+P26+P37+P27+P31</f>
        <v>831740</v>
      </c>
      <c r="Q13" s="155">
        <f t="shared" ca="1" si="5"/>
        <v>329882.28749999998</v>
      </c>
      <c r="R13" s="155">
        <f t="shared" ca="1" si="5"/>
        <v>310714.125</v>
      </c>
      <c r="S13" s="155">
        <f t="shared" ca="1" si="5"/>
        <v>311324.73749999999</v>
      </c>
      <c r="T13" s="155">
        <f t="shared" ca="1" si="5"/>
        <v>313728.78250000003</v>
      </c>
      <c r="U13" s="155">
        <f t="shared" ca="1" si="5"/>
        <v>334032.73</v>
      </c>
      <c r="V13" s="155">
        <f t="shared" ca="1" si="5"/>
        <v>314112.48250000004</v>
      </c>
      <c r="W13" s="155">
        <f t="shared" ca="1" si="5"/>
        <v>314112.48250000004</v>
      </c>
      <c r="X13" s="155">
        <f t="shared" ca="1" si="5"/>
        <v>314112.48250000004</v>
      </c>
      <c r="Y13" s="155">
        <f t="shared" ca="1" si="5"/>
        <v>313032.73</v>
      </c>
      <c r="Z13" s="155">
        <f t="shared" ca="1" si="5"/>
        <v>290383.33333333337</v>
      </c>
      <c r="AA13" s="155">
        <f t="shared" ca="1" si="5"/>
        <v>290383.33333333337</v>
      </c>
      <c r="AB13" s="155">
        <f t="shared" si="5"/>
        <v>376783.33333333337</v>
      </c>
      <c r="AC13" s="155">
        <f t="shared" ca="1" si="5"/>
        <v>3812602.84</v>
      </c>
      <c r="AD13" s="155">
        <f t="shared" si="5"/>
        <v>337296.03</v>
      </c>
      <c r="AE13" s="155">
        <f t="shared" si="5"/>
        <v>316906.64250000002</v>
      </c>
      <c r="AF13" s="155">
        <f t="shared" si="5"/>
        <v>317218.64250000002</v>
      </c>
      <c r="AG13" s="155">
        <f t="shared" si="5"/>
        <v>341030.64250000002</v>
      </c>
      <c r="AH13" s="155">
        <f t="shared" si="5"/>
        <v>370297.90750000003</v>
      </c>
      <c r="AI13" s="155">
        <f t="shared" si="5"/>
        <v>338030.64250000002</v>
      </c>
      <c r="AJ13" s="155">
        <f t="shared" si="5"/>
        <v>338030.64250000002</v>
      </c>
      <c r="AK13" s="155">
        <f t="shared" si="5"/>
        <v>338030.64250000002</v>
      </c>
      <c r="AL13" s="155">
        <f t="shared" si="5"/>
        <v>341297.90750000003</v>
      </c>
      <c r="AM13" s="155">
        <f t="shared" ca="1" si="5"/>
        <v>290383.33333333337</v>
      </c>
      <c r="AN13" s="155">
        <f t="shared" ca="1" si="5"/>
        <v>290383.33333333337</v>
      </c>
      <c r="AO13" s="155">
        <f t="shared" si="5"/>
        <v>370783.33333333337</v>
      </c>
      <c r="AP13" s="155">
        <f t="shared" ca="1" si="5"/>
        <v>3989689.6999999997</v>
      </c>
      <c r="AQ13" s="155">
        <f t="shared" si="5"/>
        <v>338585.01</v>
      </c>
      <c r="AR13" s="155">
        <f t="shared" si="5"/>
        <v>318317.745</v>
      </c>
      <c r="AS13" s="155">
        <f t="shared" si="5"/>
        <v>318843.99</v>
      </c>
      <c r="AT13" s="155">
        <f t="shared" si="5"/>
        <v>342655.99</v>
      </c>
      <c r="AU13" s="155">
        <f t="shared" si="5"/>
        <v>371801.13250000001</v>
      </c>
      <c r="AV13" s="155">
        <f t="shared" si="5"/>
        <v>339655.99</v>
      </c>
      <c r="AW13" s="155">
        <f t="shared" si="5"/>
        <v>339655.99</v>
      </c>
      <c r="AX13" s="155">
        <f t="shared" si="5"/>
        <v>339655.99</v>
      </c>
      <c r="AY13" s="155">
        <f t="shared" si="5"/>
        <v>342801.13250000001</v>
      </c>
      <c r="AZ13" s="155">
        <f t="shared" si="5"/>
        <v>290383.33333333337</v>
      </c>
      <c r="BA13" s="155">
        <f t="shared" si="5"/>
        <v>290383.33333333337</v>
      </c>
      <c r="BB13" s="155">
        <f t="shared" si="5"/>
        <v>290383.33333333337</v>
      </c>
      <c r="BC13" s="155">
        <f t="shared" si="5"/>
        <v>3923122.9699999997</v>
      </c>
      <c r="BD13" s="155">
        <f t="shared" ca="1" si="5"/>
        <v>12557155.51</v>
      </c>
      <c r="CN13" s="190"/>
      <c r="CO13" s="190"/>
      <c r="CP13" s="190"/>
      <c r="CQ13" s="190"/>
      <c r="CR13" s="190"/>
      <c r="CS13" s="190"/>
      <c r="CT13" s="190"/>
      <c r="CU13" s="190"/>
      <c r="CV13" s="190"/>
      <c r="CW13" s="190"/>
      <c r="CX13" s="190"/>
      <c r="CY13" s="190"/>
      <c r="CZ13" s="190"/>
      <c r="DA13" s="190"/>
    </row>
    <row r="14" spans="1:105" s="178" customFormat="1" ht="7.5" customHeight="1" x14ac:dyDescent="0.25">
      <c r="B14" s="133"/>
      <c r="C14" s="136"/>
      <c r="D14" s="136"/>
      <c r="E14" s="136"/>
      <c r="F14" s="136"/>
      <c r="G14" s="136"/>
      <c r="H14" s="180"/>
      <c r="I14" s="181"/>
      <c r="J14" s="180"/>
      <c r="K14" s="181"/>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CN14" s="190"/>
      <c r="CO14" s="190"/>
      <c r="CP14" s="190"/>
      <c r="CQ14" s="190"/>
      <c r="CR14" s="190"/>
      <c r="CS14" s="190"/>
      <c r="CT14" s="190"/>
      <c r="CU14" s="190"/>
      <c r="CV14" s="190"/>
      <c r="CW14" s="190"/>
      <c r="CX14" s="190"/>
      <c r="CY14" s="190"/>
      <c r="CZ14" s="190"/>
      <c r="DA14" s="190"/>
    </row>
    <row r="15" spans="1:105" s="167" customFormat="1" ht="12.75" x14ac:dyDescent="0.2">
      <c r="B15" s="168" t="s">
        <v>295</v>
      </c>
      <c r="C15" s="169">
        <f ca="1">C16+C19+C25+C26+C27+C31</f>
        <v>155000</v>
      </c>
      <c r="D15" s="169">
        <f t="shared" ref="D15:G15" ca="1" si="6">D16+D19+D25+D26+D27+D31</f>
        <v>3721284.34</v>
      </c>
      <c r="E15" s="169">
        <f t="shared" ca="1" si="6"/>
        <v>3896652.4</v>
      </c>
      <c r="F15" s="169">
        <f t="shared" si="6"/>
        <v>3883887.67</v>
      </c>
      <c r="G15" s="169">
        <f t="shared" ca="1" si="6"/>
        <v>11656824.41</v>
      </c>
      <c r="H15" s="170">
        <f t="shared" ref="H15:H31" ca="1" si="7">E15-D15</f>
        <v>175368.06000000006</v>
      </c>
      <c r="I15" s="171">
        <f t="shared" ref="I15:I31" ca="1" si="8">IF(D15&lt;&gt;0,E15/D15-1,0)</f>
        <v>4.7125681344736936E-2</v>
      </c>
      <c r="J15" s="170">
        <f t="shared" ref="J15:J31" ca="1" si="9">F15-E15</f>
        <v>-12764.729999999981</v>
      </c>
      <c r="K15" s="171">
        <f t="shared" ref="K15:K31" ca="1" si="10">IF(E15&lt;&gt;0,F15/E15-1,0)</f>
        <v>-3.2758195213922203E-3</v>
      </c>
      <c r="L15" s="142"/>
      <c r="M15" s="142"/>
      <c r="N15" s="142"/>
      <c r="O15" s="142"/>
      <c r="P15" s="172">
        <f t="shared" ref="P15:P31" ca="1" si="11">C15</f>
        <v>155000</v>
      </c>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CN15" s="209"/>
      <c r="CO15" s="209"/>
      <c r="CP15" s="209"/>
      <c r="CQ15" s="209"/>
      <c r="CR15" s="209"/>
      <c r="CS15" s="209"/>
      <c r="CT15" s="209"/>
      <c r="CU15" s="209"/>
      <c r="CV15" s="209"/>
      <c r="CW15" s="209"/>
      <c r="CX15" s="209"/>
      <c r="CY15" s="209"/>
      <c r="CZ15" s="209"/>
      <c r="DA15" s="209"/>
    </row>
    <row r="16" spans="1:105" s="162" customFormat="1" ht="12" x14ac:dyDescent="0.2">
      <c r="B16" s="163" t="s">
        <v>213</v>
      </c>
      <c r="C16" s="164">
        <f>SUM(C17:C18)</f>
        <v>0</v>
      </c>
      <c r="D16" s="164">
        <f t="shared" ref="D16:F16" si="12">SUM(D17:D18)</f>
        <v>1856770.0000000002</v>
      </c>
      <c r="E16" s="164">
        <f t="shared" si="12"/>
        <v>1969000.0000000002</v>
      </c>
      <c r="F16" s="164">
        <f t="shared" si="12"/>
        <v>1969000.0000000002</v>
      </c>
      <c r="G16" s="164">
        <f t="shared" ref="G16:G31" si="13">C16+D16+E16+F16</f>
        <v>5794770.0000000009</v>
      </c>
      <c r="H16" s="147">
        <f t="shared" si="7"/>
        <v>112230</v>
      </c>
      <c r="I16" s="138">
        <f t="shared" si="8"/>
        <v>6.0443673691410238E-2</v>
      </c>
      <c r="J16" s="147">
        <f t="shared" si="9"/>
        <v>0</v>
      </c>
      <c r="K16" s="138">
        <f t="shared" si="10"/>
        <v>0</v>
      </c>
      <c r="P16" s="165">
        <f t="shared" si="11"/>
        <v>0</v>
      </c>
      <c r="Q16" s="165">
        <f t="shared" ref="Q16:AB16" si="14">SUM(Q17:Q18)</f>
        <v>169000</v>
      </c>
      <c r="R16" s="165">
        <f t="shared" si="14"/>
        <v>169000</v>
      </c>
      <c r="S16" s="165">
        <f t="shared" si="14"/>
        <v>169000</v>
      </c>
      <c r="T16" s="165">
        <f t="shared" si="14"/>
        <v>161197.5</v>
      </c>
      <c r="U16" s="165">
        <f t="shared" si="14"/>
        <v>152490</v>
      </c>
      <c r="V16" s="165">
        <f t="shared" si="14"/>
        <v>161197.5</v>
      </c>
      <c r="W16" s="165">
        <f t="shared" si="14"/>
        <v>161197.5</v>
      </c>
      <c r="X16" s="165">
        <f t="shared" si="14"/>
        <v>161197.5</v>
      </c>
      <c r="Y16" s="165">
        <f t="shared" si="14"/>
        <v>152490</v>
      </c>
      <c r="Z16" s="165">
        <f t="shared" si="14"/>
        <v>133333.33333333334</v>
      </c>
      <c r="AA16" s="165">
        <f t="shared" si="14"/>
        <v>133333.33333333334</v>
      </c>
      <c r="AB16" s="165">
        <f t="shared" si="14"/>
        <v>133333.33333333334</v>
      </c>
      <c r="AC16" s="164">
        <f t="shared" ref="AC16:AC31" si="15">D16</f>
        <v>1856770.0000000002</v>
      </c>
      <c r="AD16" s="165">
        <f t="shared" ref="AD16:AO16" si="16">SUM(AD17:AD18)</f>
        <v>169000</v>
      </c>
      <c r="AE16" s="165">
        <f t="shared" si="16"/>
        <v>169000</v>
      </c>
      <c r="AF16" s="165">
        <f t="shared" si="16"/>
        <v>169000</v>
      </c>
      <c r="AG16" s="165">
        <f t="shared" si="16"/>
        <v>177000</v>
      </c>
      <c r="AH16" s="165">
        <f t="shared" si="16"/>
        <v>177000</v>
      </c>
      <c r="AI16" s="165">
        <f t="shared" si="16"/>
        <v>177000</v>
      </c>
      <c r="AJ16" s="165">
        <f t="shared" si="16"/>
        <v>177000</v>
      </c>
      <c r="AK16" s="165">
        <f t="shared" si="16"/>
        <v>177000</v>
      </c>
      <c r="AL16" s="165">
        <f t="shared" si="16"/>
        <v>177000</v>
      </c>
      <c r="AM16" s="165">
        <f t="shared" si="16"/>
        <v>133333.33333333334</v>
      </c>
      <c r="AN16" s="165">
        <f t="shared" si="16"/>
        <v>133333.33333333334</v>
      </c>
      <c r="AO16" s="165">
        <f t="shared" si="16"/>
        <v>133333.33333333334</v>
      </c>
      <c r="AP16" s="164">
        <f t="shared" ref="AP16:AP31" si="17">E16</f>
        <v>1969000.0000000002</v>
      </c>
      <c r="AQ16" s="165">
        <f t="shared" ref="AQ16:BB16" si="18">SUM(AQ17:AQ18)</f>
        <v>169000</v>
      </c>
      <c r="AR16" s="165">
        <f t="shared" si="18"/>
        <v>169000</v>
      </c>
      <c r="AS16" s="165">
        <f t="shared" si="18"/>
        <v>169000</v>
      </c>
      <c r="AT16" s="165">
        <f t="shared" si="18"/>
        <v>177000</v>
      </c>
      <c r="AU16" s="165">
        <f t="shared" si="18"/>
        <v>177000</v>
      </c>
      <c r="AV16" s="165">
        <f t="shared" si="18"/>
        <v>177000</v>
      </c>
      <c r="AW16" s="165">
        <f t="shared" si="18"/>
        <v>177000</v>
      </c>
      <c r="AX16" s="165">
        <f t="shared" si="18"/>
        <v>177000</v>
      </c>
      <c r="AY16" s="165">
        <f t="shared" si="18"/>
        <v>177000</v>
      </c>
      <c r="AZ16" s="165">
        <f t="shared" si="18"/>
        <v>133333.33333333334</v>
      </c>
      <c r="BA16" s="165">
        <f t="shared" si="18"/>
        <v>133333.33333333334</v>
      </c>
      <c r="BB16" s="165">
        <f t="shared" si="18"/>
        <v>133333.33333333334</v>
      </c>
      <c r="BC16" s="164">
        <f t="shared" ref="BC16:BC31" si="19">F16</f>
        <v>1969000.0000000002</v>
      </c>
      <c r="BD16" s="164">
        <f t="shared" ref="BD16:BD31" si="20">G16</f>
        <v>5794770.0000000009</v>
      </c>
      <c r="CN16" s="213"/>
      <c r="CO16" s="213"/>
      <c r="CP16" s="213"/>
      <c r="CQ16" s="213"/>
      <c r="CR16" s="213"/>
      <c r="CS16" s="213"/>
      <c r="CT16" s="213"/>
      <c r="CU16" s="213"/>
      <c r="CV16" s="213"/>
      <c r="CW16" s="213"/>
      <c r="CX16" s="213"/>
      <c r="CY16" s="213"/>
      <c r="CZ16" s="213"/>
      <c r="DA16" s="213"/>
    </row>
    <row r="17" spans="2:105" s="162" customFormat="1" ht="12" x14ac:dyDescent="0.2">
      <c r="B17" s="166" t="s">
        <v>218</v>
      </c>
      <c r="C17" s="165">
        <v>0</v>
      </c>
      <c r="D17" s="165">
        <f>SUM(Q17:AB17)</f>
        <v>1356770.0000000002</v>
      </c>
      <c r="E17" s="165">
        <f>SUM(AD17:AO17)</f>
        <v>1469000.0000000002</v>
      </c>
      <c r="F17" s="165">
        <f>SUM(AQ17:BB17)</f>
        <v>1469000.0000000002</v>
      </c>
      <c r="G17" s="165">
        <f t="shared" si="13"/>
        <v>4294770.0000000009</v>
      </c>
      <c r="H17" s="147">
        <f t="shared" si="7"/>
        <v>112230</v>
      </c>
      <c r="I17" s="138">
        <f t="shared" si="8"/>
        <v>8.2718515297360629E-2</v>
      </c>
      <c r="J17" s="147">
        <f t="shared" si="9"/>
        <v>0</v>
      </c>
      <c r="K17" s="138">
        <f t="shared" si="10"/>
        <v>0</v>
      </c>
      <c r="P17" s="165">
        <f t="shared" si="11"/>
        <v>0</v>
      </c>
      <c r="Q17" s="165">
        <f>Вспомогательный!F69+Вспомогательный!F70+Вспомогательный!F89+Вспомогательный!F97</f>
        <v>129000</v>
      </c>
      <c r="R17" s="165">
        <f>Вспомогательный!G69+Вспомогательный!G70+Вспомогательный!G89+Вспомогательный!G97</f>
        <v>129000</v>
      </c>
      <c r="S17" s="165">
        <f>Вспомогательный!H69+Вспомогательный!H70+Вспомогательный!H89+Вспомогательный!H97</f>
        <v>129000</v>
      </c>
      <c r="T17" s="165">
        <f>Вспомогательный!I69+Вспомогательный!I70+Вспомогательный!I89+Вспомогательный!I97</f>
        <v>121197.50000000001</v>
      </c>
      <c r="U17" s="165">
        <f>Вспомогательный!J69+Вспомогательный!J70+Вспомогательный!J89+Вспомогательный!J97</f>
        <v>112490</v>
      </c>
      <c r="V17" s="165">
        <f>Вспомогательный!K69+Вспомогательный!K70+Вспомогательный!K89+Вспомогательный!K97</f>
        <v>121197.50000000001</v>
      </c>
      <c r="W17" s="165">
        <f>Вспомогательный!L69+Вспомогательный!L70+Вспомогательный!L89+Вспомогательный!L97</f>
        <v>121197.50000000001</v>
      </c>
      <c r="X17" s="165">
        <f>Вспомогательный!M69+Вспомогательный!M70+Вспомогательный!M89+Вспомогательный!M97</f>
        <v>121197.50000000001</v>
      </c>
      <c r="Y17" s="165">
        <f>Вспомогательный!N69+Вспомогательный!N70+Вспомогательный!N89+Вспомогательный!N97</f>
        <v>112490</v>
      </c>
      <c r="Z17" s="165">
        <f>Вспомогательный!O69+Вспомогательный!O70+Вспомогательный!O89+Вспомогательный!O97</f>
        <v>86666.666666666672</v>
      </c>
      <c r="AA17" s="165">
        <f>Вспомогательный!P69+Вспомогательный!P70+Вспомогательный!P89+Вспомогательный!P97</f>
        <v>86666.666666666672</v>
      </c>
      <c r="AB17" s="165">
        <f>Вспомогательный!Q69+Вспомогательный!Q70+Вспомогательный!Q89+Вспомогательный!Q97</f>
        <v>86666.666666666672</v>
      </c>
      <c r="AC17" s="165">
        <f t="shared" si="15"/>
        <v>1356770.0000000002</v>
      </c>
      <c r="AD17" s="165">
        <f>Вспомогательный!S69+Вспомогательный!S70+Вспомогательный!S89+Вспомогательный!S97</f>
        <v>129000</v>
      </c>
      <c r="AE17" s="165">
        <f>Вспомогательный!T69+Вспомогательный!T70+Вспомогательный!T89+Вспомогательный!T97</f>
        <v>129000</v>
      </c>
      <c r="AF17" s="165">
        <f>Вспомогательный!U69+Вспомогательный!U70+Вспомогательный!U89+Вспомогательный!U97</f>
        <v>129000</v>
      </c>
      <c r="AG17" s="165">
        <f>Вспомогательный!V69+Вспомогательный!V70+Вспомогательный!V89+Вспомогательный!V97</f>
        <v>137000</v>
      </c>
      <c r="AH17" s="165">
        <f>Вспомогательный!W69+Вспомогательный!W70+Вспомогательный!W89+Вспомогательный!W97</f>
        <v>137000</v>
      </c>
      <c r="AI17" s="165">
        <f>Вспомогательный!X69+Вспомогательный!X70+Вспомогательный!X89+Вспомогательный!X97</f>
        <v>137000</v>
      </c>
      <c r="AJ17" s="165">
        <f>Вспомогательный!Y69+Вспомогательный!Y70+Вспомогательный!Y89+Вспомогательный!Y97</f>
        <v>137000</v>
      </c>
      <c r="AK17" s="165">
        <f>Вспомогательный!Z69+Вспомогательный!Z70+Вспомогательный!Z89+Вспомогательный!Z97</f>
        <v>137000</v>
      </c>
      <c r="AL17" s="165">
        <f>Вспомогательный!AA69+Вспомогательный!AA70+Вспомогательный!AA89+Вспомогательный!AA97</f>
        <v>137000</v>
      </c>
      <c r="AM17" s="165">
        <f>Вспомогательный!AB69+Вспомогательный!AB70+Вспомогательный!AB89+Вспомогательный!AB97</f>
        <v>86666.666666666672</v>
      </c>
      <c r="AN17" s="165">
        <f>Вспомогательный!AC69+Вспомогательный!AC70+Вспомогательный!AC89+Вспомогательный!AC97</f>
        <v>86666.666666666672</v>
      </c>
      <c r="AO17" s="165">
        <f>Вспомогательный!AD69+Вспомогательный!AD70+Вспомогательный!AD89+Вспомогательный!AD97</f>
        <v>86666.666666666672</v>
      </c>
      <c r="AP17" s="165">
        <f t="shared" si="17"/>
        <v>1469000.0000000002</v>
      </c>
      <c r="AQ17" s="165">
        <f>Вспомогательный!AF69+Вспомогательный!AF70+Вспомогательный!AF89+Вспомогательный!AF97</f>
        <v>129000</v>
      </c>
      <c r="AR17" s="165">
        <f>Вспомогательный!AG69+Вспомогательный!AG70+Вспомогательный!AG89+Вспомогательный!AG97</f>
        <v>129000</v>
      </c>
      <c r="AS17" s="165">
        <f>Вспомогательный!AH69+Вспомогательный!AH70+Вспомогательный!AH89+Вспомогательный!AH97</f>
        <v>129000</v>
      </c>
      <c r="AT17" s="165">
        <f>Вспомогательный!AI69+Вспомогательный!AI70+Вспомогательный!AI89+Вспомогательный!AI97</f>
        <v>137000</v>
      </c>
      <c r="AU17" s="165">
        <f>Вспомогательный!AJ69+Вспомогательный!AJ70+Вспомогательный!AJ89+Вспомогательный!AJ97</f>
        <v>137000</v>
      </c>
      <c r="AV17" s="165">
        <f>Вспомогательный!AK69+Вспомогательный!AK70+Вспомогательный!AK89+Вспомогательный!AK97</f>
        <v>137000</v>
      </c>
      <c r="AW17" s="165">
        <f>Вспомогательный!AL69+Вспомогательный!AL70+Вспомогательный!AL89+Вспомогательный!AL97</f>
        <v>137000</v>
      </c>
      <c r="AX17" s="165">
        <f>Вспомогательный!AM69+Вспомогательный!AM70+Вспомогательный!AM89+Вспомогательный!AM97</f>
        <v>137000</v>
      </c>
      <c r="AY17" s="165">
        <f>Вспомогательный!AN69+Вспомогательный!AN70+Вспомогательный!AN89+Вспомогательный!AN97</f>
        <v>137000</v>
      </c>
      <c r="AZ17" s="165">
        <f>Вспомогательный!AO69+Вспомогательный!AO70+Вспомогательный!AO89+Вспомогательный!AO97</f>
        <v>86666.666666666672</v>
      </c>
      <c r="BA17" s="165">
        <f>Вспомогательный!AP69+Вспомогательный!AP70+Вспомогательный!AP89+Вспомогательный!AP97</f>
        <v>86666.666666666672</v>
      </c>
      <c r="BB17" s="165">
        <f>Вспомогательный!AQ69+Вспомогательный!AQ70+Вспомогательный!AQ89+Вспомогательный!AQ97</f>
        <v>86666.666666666672</v>
      </c>
      <c r="BC17" s="165">
        <f t="shared" si="19"/>
        <v>1469000.0000000002</v>
      </c>
      <c r="BD17" s="165">
        <f t="shared" si="20"/>
        <v>4294770.0000000009</v>
      </c>
      <c r="CN17" s="213"/>
      <c r="CO17" s="213"/>
      <c r="CP17" s="213"/>
      <c r="CQ17" s="213"/>
      <c r="CR17" s="213"/>
      <c r="CS17" s="213"/>
      <c r="CT17" s="213"/>
      <c r="CU17" s="213"/>
      <c r="CV17" s="213"/>
      <c r="CW17" s="213"/>
      <c r="CX17" s="213"/>
      <c r="CY17" s="213"/>
      <c r="CZ17" s="213"/>
      <c r="DA17" s="213"/>
    </row>
    <row r="18" spans="2:105" s="162" customFormat="1" ht="12" x14ac:dyDescent="0.2">
      <c r="B18" s="166" t="s">
        <v>219</v>
      </c>
      <c r="C18" s="165">
        <v>0</v>
      </c>
      <c r="D18" s="165">
        <f>SUM(Q18:AB18)</f>
        <v>500000.00000000006</v>
      </c>
      <c r="E18" s="165">
        <f>SUM(AD18:AO18)</f>
        <v>500000.00000000006</v>
      </c>
      <c r="F18" s="165">
        <f>SUM(AQ18:BB18)</f>
        <v>500000.00000000006</v>
      </c>
      <c r="G18" s="165">
        <f t="shared" si="13"/>
        <v>1500000.0000000002</v>
      </c>
      <c r="H18" s="147">
        <f t="shared" si="7"/>
        <v>0</v>
      </c>
      <c r="I18" s="138">
        <f t="shared" si="8"/>
        <v>0</v>
      </c>
      <c r="J18" s="147">
        <f t="shared" si="9"/>
        <v>0</v>
      </c>
      <c r="K18" s="138">
        <f t="shared" si="10"/>
        <v>0</v>
      </c>
      <c r="P18" s="165">
        <f t="shared" si="11"/>
        <v>0</v>
      </c>
      <c r="Q18" s="165">
        <f>Вспомогательный!F72+Вспомогательный!F98</f>
        <v>40000</v>
      </c>
      <c r="R18" s="165">
        <f>Вспомогательный!G72+Вспомогательный!G98</f>
        <v>40000</v>
      </c>
      <c r="S18" s="165">
        <f>Вспомогательный!H72+Вспомогательный!H98</f>
        <v>40000</v>
      </c>
      <c r="T18" s="165">
        <f>Вспомогательный!I72+Вспомогательный!I98</f>
        <v>40000</v>
      </c>
      <c r="U18" s="165">
        <f>Вспомогательный!J72+Вспомогательный!J98</f>
        <v>40000</v>
      </c>
      <c r="V18" s="165">
        <f>Вспомогательный!K72+Вспомогательный!K98</f>
        <v>40000</v>
      </c>
      <c r="W18" s="165">
        <f>Вспомогательный!L72+Вспомогательный!L98</f>
        <v>40000</v>
      </c>
      <c r="X18" s="165">
        <f>Вспомогательный!M72+Вспомогательный!M98</f>
        <v>40000</v>
      </c>
      <c r="Y18" s="165">
        <f>Вспомогательный!N72+Вспомогательный!N98</f>
        <v>40000</v>
      </c>
      <c r="Z18" s="165">
        <f>Вспомогательный!O72+Вспомогательный!O98</f>
        <v>46666.666666666664</v>
      </c>
      <c r="AA18" s="165">
        <f>Вспомогательный!P72+Вспомогательный!P98</f>
        <v>46666.666666666664</v>
      </c>
      <c r="AB18" s="165">
        <f>Вспомогательный!Q72+Вспомогательный!Q98</f>
        <v>46666.666666666664</v>
      </c>
      <c r="AC18" s="165">
        <f t="shared" si="15"/>
        <v>500000.00000000006</v>
      </c>
      <c r="AD18" s="165">
        <f>Вспомогательный!S72+Вспомогательный!S98</f>
        <v>40000</v>
      </c>
      <c r="AE18" s="165">
        <f>Вспомогательный!T72+Вспомогательный!T98</f>
        <v>40000</v>
      </c>
      <c r="AF18" s="165">
        <f>Вспомогательный!U72+Вспомогательный!U98</f>
        <v>40000</v>
      </c>
      <c r="AG18" s="165">
        <f>Вспомогательный!V72+Вспомогательный!V98</f>
        <v>40000</v>
      </c>
      <c r="AH18" s="165">
        <f>Вспомогательный!W72+Вспомогательный!W98</f>
        <v>40000</v>
      </c>
      <c r="AI18" s="165">
        <f>Вспомогательный!X72+Вспомогательный!X98</f>
        <v>40000</v>
      </c>
      <c r="AJ18" s="165">
        <f>Вспомогательный!Y72+Вспомогательный!Y98</f>
        <v>40000</v>
      </c>
      <c r="AK18" s="165">
        <f>Вспомогательный!Z72+Вспомогательный!Z98</f>
        <v>40000</v>
      </c>
      <c r="AL18" s="165">
        <f>Вспомогательный!AA72+Вспомогательный!AA98</f>
        <v>40000</v>
      </c>
      <c r="AM18" s="165">
        <f>Вспомогательный!AB72+Вспомогательный!AB98</f>
        <v>46666.666666666664</v>
      </c>
      <c r="AN18" s="165">
        <f>Вспомогательный!AC72+Вспомогательный!AC98</f>
        <v>46666.666666666664</v>
      </c>
      <c r="AO18" s="165">
        <f>Вспомогательный!AD72+Вспомогательный!AD98</f>
        <v>46666.666666666664</v>
      </c>
      <c r="AP18" s="165">
        <f t="shared" si="17"/>
        <v>500000.00000000006</v>
      </c>
      <c r="AQ18" s="165">
        <f>Вспомогательный!AF72+Вспомогательный!AF98</f>
        <v>40000</v>
      </c>
      <c r="AR18" s="165">
        <f>Вспомогательный!AG72+Вспомогательный!AG98</f>
        <v>40000</v>
      </c>
      <c r="AS18" s="165">
        <f>Вспомогательный!AH72+Вспомогательный!AH98</f>
        <v>40000</v>
      </c>
      <c r="AT18" s="165">
        <f>Вспомогательный!AI72+Вспомогательный!AI98</f>
        <v>40000</v>
      </c>
      <c r="AU18" s="165">
        <f>Вспомогательный!AJ72+Вспомогательный!AJ98</f>
        <v>40000</v>
      </c>
      <c r="AV18" s="165">
        <f>Вспомогательный!AK72+Вспомогательный!AK98</f>
        <v>40000</v>
      </c>
      <c r="AW18" s="165">
        <f>Вспомогательный!AL72+Вспомогательный!AL98</f>
        <v>40000</v>
      </c>
      <c r="AX18" s="165">
        <f>Вспомогательный!AM72+Вспомогательный!AM98</f>
        <v>40000</v>
      </c>
      <c r="AY18" s="165">
        <f>Вспомогательный!AN72+Вспомогательный!AN98</f>
        <v>40000</v>
      </c>
      <c r="AZ18" s="165">
        <f>Вспомогательный!AO72+Вспомогательный!AO98</f>
        <v>46666.666666666664</v>
      </c>
      <c r="BA18" s="165">
        <f>Вспомогательный!AP72+Вспомогательный!AP98</f>
        <v>46666.666666666664</v>
      </c>
      <c r="BB18" s="165">
        <f>Вспомогательный!AQ72+Вспомогательный!AQ98</f>
        <v>46666.666666666664</v>
      </c>
      <c r="BC18" s="165">
        <f t="shared" si="19"/>
        <v>500000.00000000006</v>
      </c>
      <c r="BD18" s="165">
        <f t="shared" si="20"/>
        <v>1500000.0000000002</v>
      </c>
      <c r="CN18" s="213"/>
      <c r="CO18" s="213"/>
      <c r="CP18" s="213"/>
      <c r="CQ18" s="213"/>
      <c r="CR18" s="213"/>
      <c r="CS18" s="213"/>
      <c r="CT18" s="213"/>
      <c r="CU18" s="213"/>
      <c r="CV18" s="213"/>
      <c r="CW18" s="213"/>
      <c r="CX18" s="213"/>
      <c r="CY18" s="213"/>
      <c r="CZ18" s="213"/>
      <c r="DA18" s="213"/>
    </row>
    <row r="19" spans="2:105" s="162" customFormat="1" ht="12" x14ac:dyDescent="0.2">
      <c r="B19" s="163" t="s">
        <v>113</v>
      </c>
      <c r="C19" s="164">
        <f>SUM(C20:C24)</f>
        <v>0</v>
      </c>
      <c r="D19" s="164">
        <f>SUM(D20:D24)</f>
        <v>802124.64</v>
      </c>
      <c r="E19" s="164">
        <f>SUM(E20:E24)</f>
        <v>850608</v>
      </c>
      <c r="F19" s="164">
        <f>SUM(F20:F24)</f>
        <v>850608</v>
      </c>
      <c r="G19" s="164">
        <f t="shared" si="13"/>
        <v>2503340.64</v>
      </c>
      <c r="H19" s="147">
        <f t="shared" si="7"/>
        <v>48483.359999999986</v>
      </c>
      <c r="I19" s="138">
        <f t="shared" si="8"/>
        <v>6.0443673691410238E-2</v>
      </c>
      <c r="J19" s="147">
        <f t="shared" si="9"/>
        <v>0</v>
      </c>
      <c r="K19" s="138">
        <f t="shared" si="10"/>
        <v>0</v>
      </c>
      <c r="P19" s="165">
        <f t="shared" si="11"/>
        <v>0</v>
      </c>
      <c r="Q19" s="164">
        <f t="shared" ref="Q19:AB19" si="21">SUM(Q20:Q24)</f>
        <v>73008</v>
      </c>
      <c r="R19" s="164">
        <f t="shared" si="21"/>
        <v>73008</v>
      </c>
      <c r="S19" s="164">
        <f t="shared" si="21"/>
        <v>73008</v>
      </c>
      <c r="T19" s="164">
        <f t="shared" si="21"/>
        <v>69637.320000000007</v>
      </c>
      <c r="U19" s="164">
        <f t="shared" si="21"/>
        <v>65875.679999999993</v>
      </c>
      <c r="V19" s="164">
        <f t="shared" si="21"/>
        <v>69637.320000000007</v>
      </c>
      <c r="W19" s="164">
        <f t="shared" si="21"/>
        <v>69637.320000000007</v>
      </c>
      <c r="X19" s="164">
        <f t="shared" si="21"/>
        <v>69637.320000000007</v>
      </c>
      <c r="Y19" s="164">
        <f t="shared" si="21"/>
        <v>65875.679999999993</v>
      </c>
      <c r="Z19" s="164">
        <f t="shared" si="21"/>
        <v>57600</v>
      </c>
      <c r="AA19" s="164">
        <f t="shared" si="21"/>
        <v>57600</v>
      </c>
      <c r="AB19" s="164">
        <f t="shared" si="21"/>
        <v>57600</v>
      </c>
      <c r="AC19" s="164">
        <f t="shared" si="15"/>
        <v>802124.64</v>
      </c>
      <c r="AD19" s="164">
        <f t="shared" ref="AD19:AO19" si="22">SUM(AD20:AD24)</f>
        <v>73008</v>
      </c>
      <c r="AE19" s="164">
        <f t="shared" si="22"/>
        <v>73008</v>
      </c>
      <c r="AF19" s="164">
        <f t="shared" si="22"/>
        <v>73008</v>
      </c>
      <c r="AG19" s="164">
        <f t="shared" si="22"/>
        <v>76464</v>
      </c>
      <c r="AH19" s="164">
        <f t="shared" si="22"/>
        <v>76464</v>
      </c>
      <c r="AI19" s="164">
        <f t="shared" si="22"/>
        <v>76464</v>
      </c>
      <c r="AJ19" s="164">
        <f t="shared" si="22"/>
        <v>76464</v>
      </c>
      <c r="AK19" s="164">
        <f t="shared" si="22"/>
        <v>76464</v>
      </c>
      <c r="AL19" s="164">
        <f t="shared" si="22"/>
        <v>76464</v>
      </c>
      <c r="AM19" s="164">
        <f t="shared" si="22"/>
        <v>57600</v>
      </c>
      <c r="AN19" s="164">
        <f t="shared" si="22"/>
        <v>57600</v>
      </c>
      <c r="AO19" s="164">
        <f t="shared" si="22"/>
        <v>57600</v>
      </c>
      <c r="AP19" s="164">
        <f t="shared" si="17"/>
        <v>850608</v>
      </c>
      <c r="AQ19" s="164">
        <f t="shared" ref="AQ19:BB19" si="23">SUM(AQ20:AQ24)</f>
        <v>73008</v>
      </c>
      <c r="AR19" s="164">
        <f t="shared" si="23"/>
        <v>73008</v>
      </c>
      <c r="AS19" s="164">
        <f t="shared" si="23"/>
        <v>73008</v>
      </c>
      <c r="AT19" s="164">
        <f t="shared" si="23"/>
        <v>76464</v>
      </c>
      <c r="AU19" s="164">
        <f t="shared" si="23"/>
        <v>76464</v>
      </c>
      <c r="AV19" s="164">
        <f t="shared" si="23"/>
        <v>76464</v>
      </c>
      <c r="AW19" s="164">
        <f t="shared" si="23"/>
        <v>76464</v>
      </c>
      <c r="AX19" s="164">
        <f t="shared" si="23"/>
        <v>76464</v>
      </c>
      <c r="AY19" s="164">
        <f t="shared" si="23"/>
        <v>76464</v>
      </c>
      <c r="AZ19" s="164">
        <f t="shared" si="23"/>
        <v>57600</v>
      </c>
      <c r="BA19" s="164">
        <f t="shared" si="23"/>
        <v>57600</v>
      </c>
      <c r="BB19" s="164">
        <f t="shared" si="23"/>
        <v>57600</v>
      </c>
      <c r="BC19" s="164">
        <f t="shared" si="19"/>
        <v>850608</v>
      </c>
      <c r="BD19" s="164">
        <f t="shared" si="20"/>
        <v>2503340.64</v>
      </c>
      <c r="CN19" s="213"/>
      <c r="CO19" s="213"/>
      <c r="CP19" s="213"/>
      <c r="CQ19" s="213"/>
      <c r="CR19" s="213"/>
      <c r="CS19" s="213"/>
      <c r="CT19" s="213"/>
      <c r="CU19" s="213"/>
      <c r="CV19" s="213"/>
      <c r="CW19" s="213"/>
      <c r="CX19" s="213"/>
      <c r="CY19" s="213"/>
      <c r="CZ19" s="213"/>
      <c r="DA19" s="213"/>
    </row>
    <row r="20" spans="2:105" s="162" customFormat="1" ht="12" x14ac:dyDescent="0.2">
      <c r="B20" s="166" t="s">
        <v>220</v>
      </c>
      <c r="C20" s="165">
        <v>0</v>
      </c>
      <c r="D20" s="165">
        <f t="shared" ref="D20:D26" si="24">SUM(Q20:AB20)</f>
        <v>241380.10000000003</v>
      </c>
      <c r="E20" s="165">
        <f t="shared" ref="E20:E26" si="25">SUM(AD20:AO20)</f>
        <v>255970.00000000003</v>
      </c>
      <c r="F20" s="165">
        <f t="shared" ref="F20:F26" si="26">SUM(AQ20:BB20)</f>
        <v>255970.00000000003</v>
      </c>
      <c r="G20" s="165">
        <f t="shared" si="13"/>
        <v>753320.10000000009</v>
      </c>
      <c r="H20" s="147">
        <f t="shared" si="7"/>
        <v>14589.899999999994</v>
      </c>
      <c r="I20" s="138">
        <f t="shared" si="8"/>
        <v>6.0443673691410238E-2</v>
      </c>
      <c r="J20" s="147">
        <f t="shared" si="9"/>
        <v>0</v>
      </c>
      <c r="K20" s="138">
        <f t="shared" si="10"/>
        <v>0</v>
      </c>
      <c r="P20" s="165">
        <f t="shared" si="11"/>
        <v>0</v>
      </c>
      <c r="Q20" s="165">
        <f>Вспомогательный!F76</f>
        <v>21970</v>
      </c>
      <c r="R20" s="165">
        <f>Вспомогательный!G76</f>
        <v>21970</v>
      </c>
      <c r="S20" s="165">
        <f>Вспомогательный!H76</f>
        <v>21970</v>
      </c>
      <c r="T20" s="165">
        <f>Вспомогательный!I76</f>
        <v>20955.674999999999</v>
      </c>
      <c r="U20" s="165">
        <f>Вспомогательный!J76</f>
        <v>19823.7</v>
      </c>
      <c r="V20" s="165">
        <f>Вспомогательный!K76</f>
        <v>20955.674999999999</v>
      </c>
      <c r="W20" s="165">
        <f>Вспомогательный!L76</f>
        <v>20955.674999999999</v>
      </c>
      <c r="X20" s="165">
        <f>Вспомогательный!M76</f>
        <v>20955.674999999999</v>
      </c>
      <c r="Y20" s="165">
        <f>Вспомогательный!N76</f>
        <v>19823.7</v>
      </c>
      <c r="Z20" s="165">
        <f>Вспомогательный!O76</f>
        <v>17333.333333333336</v>
      </c>
      <c r="AA20" s="165">
        <f>Вспомогательный!P76</f>
        <v>17333.333333333336</v>
      </c>
      <c r="AB20" s="165">
        <f>Вспомогательный!Q76</f>
        <v>17333.333333333336</v>
      </c>
      <c r="AC20" s="165">
        <f t="shared" si="15"/>
        <v>241380.10000000003</v>
      </c>
      <c r="AD20" s="165">
        <f>Вспомогательный!S76</f>
        <v>21970</v>
      </c>
      <c r="AE20" s="165">
        <f>Вспомогательный!T76</f>
        <v>21970</v>
      </c>
      <c r="AF20" s="165">
        <f>Вспомогательный!U76</f>
        <v>21970</v>
      </c>
      <c r="AG20" s="165">
        <f>Вспомогательный!V76</f>
        <v>23010</v>
      </c>
      <c r="AH20" s="165">
        <f>Вспомогательный!W76</f>
        <v>23010</v>
      </c>
      <c r="AI20" s="165">
        <f>Вспомогательный!X76</f>
        <v>23010</v>
      </c>
      <c r="AJ20" s="165">
        <f>Вспомогательный!Y76</f>
        <v>23010</v>
      </c>
      <c r="AK20" s="165">
        <f>Вспомогательный!Z76</f>
        <v>23010</v>
      </c>
      <c r="AL20" s="165">
        <f>Вспомогательный!AA76</f>
        <v>23010</v>
      </c>
      <c r="AM20" s="165">
        <f>Вспомогательный!AB76</f>
        <v>17333.333333333336</v>
      </c>
      <c r="AN20" s="165">
        <f>Вспомогательный!AC76</f>
        <v>17333.333333333336</v>
      </c>
      <c r="AO20" s="165">
        <f>Вспомогательный!AD76</f>
        <v>17333.333333333336</v>
      </c>
      <c r="AP20" s="165">
        <f t="shared" si="17"/>
        <v>255970.00000000003</v>
      </c>
      <c r="AQ20" s="165">
        <f>Вспомогательный!AF76</f>
        <v>21970</v>
      </c>
      <c r="AR20" s="165">
        <f>Вспомогательный!AG76</f>
        <v>21970</v>
      </c>
      <c r="AS20" s="165">
        <f>Вспомогательный!AH76</f>
        <v>21970</v>
      </c>
      <c r="AT20" s="165">
        <f>Вспомогательный!AI76</f>
        <v>23010</v>
      </c>
      <c r="AU20" s="165">
        <f>Вспомогательный!AJ76</f>
        <v>23010</v>
      </c>
      <c r="AV20" s="165">
        <f>Вспомогательный!AK76</f>
        <v>23010</v>
      </c>
      <c r="AW20" s="165">
        <f>Вспомогательный!AL76</f>
        <v>23010</v>
      </c>
      <c r="AX20" s="165">
        <f>Вспомогательный!AM76</f>
        <v>23010</v>
      </c>
      <c r="AY20" s="165">
        <f>Вспомогательный!AN76</f>
        <v>23010</v>
      </c>
      <c r="AZ20" s="165">
        <f>Вспомогательный!AO76</f>
        <v>17333.333333333336</v>
      </c>
      <c r="BA20" s="165">
        <f>Вспомогательный!AP76</f>
        <v>17333.333333333336</v>
      </c>
      <c r="BB20" s="165">
        <f>Вспомогательный!AQ76</f>
        <v>17333.333333333336</v>
      </c>
      <c r="BC20" s="165">
        <f t="shared" si="19"/>
        <v>255970.00000000003</v>
      </c>
      <c r="BD20" s="165">
        <f t="shared" si="20"/>
        <v>753320.10000000009</v>
      </c>
      <c r="CN20" s="213"/>
      <c r="CO20" s="213"/>
      <c r="CP20" s="213"/>
      <c r="CQ20" s="213"/>
      <c r="CR20" s="213"/>
      <c r="CS20" s="213"/>
      <c r="CT20" s="213"/>
      <c r="CU20" s="213"/>
      <c r="CV20" s="213"/>
      <c r="CW20" s="213"/>
      <c r="CX20" s="213"/>
      <c r="CY20" s="213"/>
      <c r="CZ20" s="213"/>
      <c r="DA20" s="213"/>
    </row>
    <row r="21" spans="2:105" s="162" customFormat="1" ht="12" x14ac:dyDescent="0.2">
      <c r="B21" s="166" t="s">
        <v>221</v>
      </c>
      <c r="C21" s="165">
        <v>0</v>
      </c>
      <c r="D21" s="165">
        <f t="shared" si="24"/>
        <v>408489.39999999997</v>
      </c>
      <c r="E21" s="165">
        <f t="shared" si="25"/>
        <v>433179.99999999994</v>
      </c>
      <c r="F21" s="165">
        <f t="shared" si="26"/>
        <v>433179.99999999994</v>
      </c>
      <c r="G21" s="165">
        <f t="shared" si="13"/>
        <v>1274849.3999999999</v>
      </c>
      <c r="H21" s="147">
        <f t="shared" si="7"/>
        <v>24690.599999999977</v>
      </c>
      <c r="I21" s="138">
        <f t="shared" si="8"/>
        <v>6.0443673691410238E-2</v>
      </c>
      <c r="J21" s="147">
        <f t="shared" si="9"/>
        <v>0</v>
      </c>
      <c r="K21" s="138">
        <f t="shared" si="10"/>
        <v>0</v>
      </c>
      <c r="P21" s="165">
        <f t="shared" si="11"/>
        <v>0</v>
      </c>
      <c r="Q21" s="165">
        <f>Вспомогательный!F77</f>
        <v>37180</v>
      </c>
      <c r="R21" s="165">
        <f>Вспомогательный!G77</f>
        <v>37180</v>
      </c>
      <c r="S21" s="165">
        <f>Вспомогательный!H77</f>
        <v>37180</v>
      </c>
      <c r="T21" s="165">
        <f>Вспомогательный!I77</f>
        <v>35463.449999999997</v>
      </c>
      <c r="U21" s="165">
        <f>Вспомогательный!J77</f>
        <v>33547.800000000003</v>
      </c>
      <c r="V21" s="165">
        <f>Вспомогательный!K77</f>
        <v>35463.449999999997</v>
      </c>
      <c r="W21" s="165">
        <f>Вспомогательный!L77</f>
        <v>35463.449999999997</v>
      </c>
      <c r="X21" s="165">
        <f>Вспомогательный!M77</f>
        <v>35463.449999999997</v>
      </c>
      <c r="Y21" s="165">
        <f>Вспомогательный!N77</f>
        <v>33547.800000000003</v>
      </c>
      <c r="Z21" s="165">
        <f>Вспомогательный!O77</f>
        <v>29333.333333333336</v>
      </c>
      <c r="AA21" s="165">
        <f>Вспомогательный!P77</f>
        <v>29333.333333333336</v>
      </c>
      <c r="AB21" s="165">
        <f>Вспомогательный!Q77</f>
        <v>29333.333333333336</v>
      </c>
      <c r="AC21" s="165">
        <f t="shared" si="15"/>
        <v>408489.39999999997</v>
      </c>
      <c r="AD21" s="165">
        <f>Вспомогательный!S77</f>
        <v>37180</v>
      </c>
      <c r="AE21" s="165">
        <f>Вспомогательный!T77</f>
        <v>37180</v>
      </c>
      <c r="AF21" s="165">
        <f>Вспомогательный!U77</f>
        <v>37180</v>
      </c>
      <c r="AG21" s="165">
        <f>Вспомогательный!V77</f>
        <v>38940</v>
      </c>
      <c r="AH21" s="165">
        <f>Вспомогательный!W77</f>
        <v>38940</v>
      </c>
      <c r="AI21" s="165">
        <f>Вспомогательный!X77</f>
        <v>38940</v>
      </c>
      <c r="AJ21" s="165">
        <f>Вспомогательный!Y77</f>
        <v>38940</v>
      </c>
      <c r="AK21" s="165">
        <f>Вспомогательный!Z77</f>
        <v>38940</v>
      </c>
      <c r="AL21" s="165">
        <f>Вспомогательный!AA77</f>
        <v>38940</v>
      </c>
      <c r="AM21" s="165">
        <f>Вспомогательный!AB77</f>
        <v>29333.333333333336</v>
      </c>
      <c r="AN21" s="165">
        <f>Вспомогательный!AC77</f>
        <v>29333.333333333336</v>
      </c>
      <c r="AO21" s="165">
        <f>Вспомогательный!AD77</f>
        <v>29333.333333333336</v>
      </c>
      <c r="AP21" s="165">
        <f t="shared" si="17"/>
        <v>433179.99999999994</v>
      </c>
      <c r="AQ21" s="165">
        <f>Вспомогательный!AF77</f>
        <v>37180</v>
      </c>
      <c r="AR21" s="165">
        <f>Вспомогательный!AG77</f>
        <v>37180</v>
      </c>
      <c r="AS21" s="165">
        <f>Вспомогательный!AH77</f>
        <v>37180</v>
      </c>
      <c r="AT21" s="165">
        <f>Вспомогательный!AI77</f>
        <v>38940</v>
      </c>
      <c r="AU21" s="165">
        <f>Вспомогательный!AJ77</f>
        <v>38940</v>
      </c>
      <c r="AV21" s="165">
        <f>Вспомогательный!AK77</f>
        <v>38940</v>
      </c>
      <c r="AW21" s="165">
        <f>Вспомогательный!AL77</f>
        <v>38940</v>
      </c>
      <c r="AX21" s="165">
        <f>Вспомогательный!AM77</f>
        <v>38940</v>
      </c>
      <c r="AY21" s="165">
        <f>Вспомогательный!AN77</f>
        <v>38940</v>
      </c>
      <c r="AZ21" s="165">
        <f>Вспомогательный!AO77</f>
        <v>29333.333333333336</v>
      </c>
      <c r="BA21" s="165">
        <f>Вспомогательный!AP77</f>
        <v>29333.333333333336</v>
      </c>
      <c r="BB21" s="165">
        <f>Вспомогательный!AQ77</f>
        <v>29333.333333333336</v>
      </c>
      <c r="BC21" s="165">
        <f t="shared" si="19"/>
        <v>433179.99999999994</v>
      </c>
      <c r="BD21" s="165">
        <f t="shared" si="20"/>
        <v>1274849.3999999999</v>
      </c>
      <c r="CN21" s="213"/>
      <c r="CO21" s="213"/>
      <c r="CP21" s="213"/>
      <c r="CQ21" s="213"/>
      <c r="CR21" s="213"/>
      <c r="CS21" s="213"/>
      <c r="CT21" s="213"/>
      <c r="CU21" s="213"/>
      <c r="CV21" s="213"/>
      <c r="CW21" s="213"/>
      <c r="CX21" s="213"/>
      <c r="CY21" s="213"/>
      <c r="CZ21" s="213"/>
      <c r="DA21" s="213"/>
    </row>
    <row r="22" spans="2:105" s="162" customFormat="1" ht="12" x14ac:dyDescent="0.2">
      <c r="B22" s="166" t="s">
        <v>222</v>
      </c>
      <c r="C22" s="165">
        <v>0</v>
      </c>
      <c r="D22" s="165">
        <f t="shared" si="24"/>
        <v>94695.27</v>
      </c>
      <c r="E22" s="165">
        <f t="shared" si="25"/>
        <v>100418.99999999999</v>
      </c>
      <c r="F22" s="165">
        <f t="shared" si="26"/>
        <v>100418.99999999999</v>
      </c>
      <c r="G22" s="165">
        <f t="shared" si="13"/>
        <v>295533.26999999996</v>
      </c>
      <c r="H22" s="147">
        <f t="shared" si="7"/>
        <v>5723.7299999999814</v>
      </c>
      <c r="I22" s="138">
        <f t="shared" si="8"/>
        <v>6.0443673691410238E-2</v>
      </c>
      <c r="J22" s="147">
        <f t="shared" si="9"/>
        <v>0</v>
      </c>
      <c r="K22" s="138">
        <f t="shared" si="10"/>
        <v>0</v>
      </c>
      <c r="P22" s="165">
        <f t="shared" si="11"/>
        <v>0</v>
      </c>
      <c r="Q22" s="165">
        <f>Вспомогательный!F78</f>
        <v>8618.9999999999982</v>
      </c>
      <c r="R22" s="165">
        <f>Вспомогательный!G78</f>
        <v>8618.9999999999982</v>
      </c>
      <c r="S22" s="165">
        <f>Вспомогательный!H78</f>
        <v>8618.9999999999982</v>
      </c>
      <c r="T22" s="165">
        <f>Вспомогательный!I78</f>
        <v>8221.0725000000002</v>
      </c>
      <c r="U22" s="165">
        <f>Вспомогательный!J78</f>
        <v>7776.99</v>
      </c>
      <c r="V22" s="165">
        <f>Вспомогательный!K78</f>
        <v>8221.0725000000002</v>
      </c>
      <c r="W22" s="165">
        <f>Вспомогательный!L78</f>
        <v>8221.0725000000002</v>
      </c>
      <c r="X22" s="165">
        <f>Вспомогательный!M78</f>
        <v>8221.0725000000002</v>
      </c>
      <c r="Y22" s="165">
        <f>Вспомогательный!N78</f>
        <v>7776.99</v>
      </c>
      <c r="Z22" s="165">
        <f>Вспомогательный!O78</f>
        <v>6800</v>
      </c>
      <c r="AA22" s="165">
        <f>Вспомогательный!P78</f>
        <v>6800</v>
      </c>
      <c r="AB22" s="165">
        <f>Вспомогательный!Q78</f>
        <v>6800</v>
      </c>
      <c r="AC22" s="165">
        <f t="shared" si="15"/>
        <v>94695.27</v>
      </c>
      <c r="AD22" s="165">
        <f>Вспомогательный!S78</f>
        <v>8618.9999999999982</v>
      </c>
      <c r="AE22" s="165">
        <f>Вспомогательный!T78</f>
        <v>8618.9999999999982</v>
      </c>
      <c r="AF22" s="165">
        <f>Вспомогательный!U78</f>
        <v>8618.9999999999982</v>
      </c>
      <c r="AG22" s="165">
        <f>Вспомогательный!V78</f>
        <v>9026.9999999999982</v>
      </c>
      <c r="AH22" s="165">
        <f>Вспомогательный!W78</f>
        <v>9026.9999999999982</v>
      </c>
      <c r="AI22" s="165">
        <f>Вспомогательный!X78</f>
        <v>9026.9999999999982</v>
      </c>
      <c r="AJ22" s="165">
        <f>Вспомогательный!Y78</f>
        <v>9026.9999999999982</v>
      </c>
      <c r="AK22" s="165">
        <f>Вспомогательный!Z78</f>
        <v>9026.9999999999982</v>
      </c>
      <c r="AL22" s="165">
        <f>Вспомогательный!AA78</f>
        <v>9026.9999999999982</v>
      </c>
      <c r="AM22" s="165">
        <f>Вспомогательный!AB78</f>
        <v>6800</v>
      </c>
      <c r="AN22" s="165">
        <f>Вспомогательный!AC78</f>
        <v>6800</v>
      </c>
      <c r="AO22" s="165">
        <f>Вспомогательный!AD78</f>
        <v>6800</v>
      </c>
      <c r="AP22" s="165">
        <f t="shared" si="17"/>
        <v>100418.99999999999</v>
      </c>
      <c r="AQ22" s="165">
        <f>Вспомогательный!AF78</f>
        <v>8618.9999999999982</v>
      </c>
      <c r="AR22" s="165">
        <f>Вспомогательный!AG78</f>
        <v>8618.9999999999982</v>
      </c>
      <c r="AS22" s="165">
        <f>Вспомогательный!AH78</f>
        <v>8618.9999999999982</v>
      </c>
      <c r="AT22" s="165">
        <f>Вспомогательный!AI78</f>
        <v>9026.9999999999982</v>
      </c>
      <c r="AU22" s="165">
        <f>Вспомогательный!AJ78</f>
        <v>9026.9999999999982</v>
      </c>
      <c r="AV22" s="165">
        <f>Вспомогательный!AK78</f>
        <v>9026.9999999999982</v>
      </c>
      <c r="AW22" s="165">
        <f>Вспомогательный!AL78</f>
        <v>9026.9999999999982</v>
      </c>
      <c r="AX22" s="165">
        <f>Вспомогательный!AM78</f>
        <v>9026.9999999999982</v>
      </c>
      <c r="AY22" s="165">
        <f>Вспомогательный!AN78</f>
        <v>9026.9999999999982</v>
      </c>
      <c r="AZ22" s="165">
        <f>Вспомогательный!AO78</f>
        <v>6800</v>
      </c>
      <c r="BA22" s="165">
        <f>Вспомогательный!AP78</f>
        <v>6800</v>
      </c>
      <c r="BB22" s="165">
        <f>Вспомогательный!AQ78</f>
        <v>6800</v>
      </c>
      <c r="BC22" s="165">
        <f t="shared" si="19"/>
        <v>100418.99999999999</v>
      </c>
      <c r="BD22" s="165">
        <f t="shared" si="20"/>
        <v>295533.26999999996</v>
      </c>
      <c r="CN22" s="213"/>
      <c r="CO22" s="213"/>
      <c r="CP22" s="213"/>
      <c r="CQ22" s="213"/>
      <c r="CR22" s="213"/>
      <c r="CS22" s="213"/>
      <c r="CT22" s="213"/>
      <c r="CU22" s="213"/>
      <c r="CV22" s="213"/>
      <c r="CW22" s="213"/>
      <c r="CX22" s="213"/>
      <c r="CY22" s="213"/>
      <c r="CZ22" s="213"/>
      <c r="DA22" s="213"/>
    </row>
    <row r="23" spans="2:105" s="162" customFormat="1" ht="12" x14ac:dyDescent="0.2">
      <c r="B23" s="166" t="s">
        <v>223</v>
      </c>
      <c r="C23" s="165">
        <v>0</v>
      </c>
      <c r="D23" s="165">
        <f t="shared" si="24"/>
        <v>53846.329999999994</v>
      </c>
      <c r="E23" s="165">
        <f t="shared" si="25"/>
        <v>57100.999999999993</v>
      </c>
      <c r="F23" s="165">
        <f t="shared" si="26"/>
        <v>57100.999999999993</v>
      </c>
      <c r="G23" s="165">
        <f t="shared" si="13"/>
        <v>168048.33</v>
      </c>
      <c r="H23" s="147">
        <f t="shared" si="7"/>
        <v>3254.6699999999983</v>
      </c>
      <c r="I23" s="138">
        <f t="shared" si="8"/>
        <v>6.0443673691410238E-2</v>
      </c>
      <c r="J23" s="147">
        <f t="shared" si="9"/>
        <v>0</v>
      </c>
      <c r="K23" s="138">
        <f t="shared" si="10"/>
        <v>0</v>
      </c>
      <c r="P23" s="165">
        <f t="shared" si="11"/>
        <v>0</v>
      </c>
      <c r="Q23" s="165">
        <f>Вспомогательный!F79</f>
        <v>4901</v>
      </c>
      <c r="R23" s="165">
        <f>Вспомогательный!G79</f>
        <v>4901</v>
      </c>
      <c r="S23" s="165">
        <f>Вспомогательный!H79</f>
        <v>4901</v>
      </c>
      <c r="T23" s="165">
        <f>Вспомогательный!I79</f>
        <v>4674.7275</v>
      </c>
      <c r="U23" s="165">
        <f>Вспомогательный!J79</f>
        <v>4422.21</v>
      </c>
      <c r="V23" s="165">
        <f>Вспомогательный!K79</f>
        <v>4674.7275</v>
      </c>
      <c r="W23" s="165">
        <f>Вспомогательный!L79</f>
        <v>4674.7275</v>
      </c>
      <c r="X23" s="165">
        <f>Вспомогательный!M79</f>
        <v>4674.7275</v>
      </c>
      <c r="Y23" s="165">
        <f>Вспомогательный!N79</f>
        <v>4422.21</v>
      </c>
      <c r="Z23" s="165">
        <f>Вспомогательный!O79</f>
        <v>3866.666666666667</v>
      </c>
      <c r="AA23" s="165">
        <f>Вспомогательный!P79</f>
        <v>3866.666666666667</v>
      </c>
      <c r="AB23" s="165">
        <f>Вспомогательный!Q79</f>
        <v>3866.666666666667</v>
      </c>
      <c r="AC23" s="165">
        <f t="shared" si="15"/>
        <v>53846.329999999994</v>
      </c>
      <c r="AD23" s="165">
        <f>Вспомогательный!S79</f>
        <v>4901</v>
      </c>
      <c r="AE23" s="165">
        <f>Вспомогательный!T79</f>
        <v>4901</v>
      </c>
      <c r="AF23" s="165">
        <f>Вспомогательный!U79</f>
        <v>4901</v>
      </c>
      <c r="AG23" s="165">
        <f>Вспомогательный!V79</f>
        <v>5133</v>
      </c>
      <c r="AH23" s="165">
        <f>Вспомогательный!W79</f>
        <v>5133</v>
      </c>
      <c r="AI23" s="165">
        <f>Вспомогательный!X79</f>
        <v>5133</v>
      </c>
      <c r="AJ23" s="165">
        <f>Вспомогательный!Y79</f>
        <v>5133</v>
      </c>
      <c r="AK23" s="165">
        <f>Вспомогательный!Z79</f>
        <v>5133</v>
      </c>
      <c r="AL23" s="165">
        <f>Вспомогательный!AA79</f>
        <v>5133</v>
      </c>
      <c r="AM23" s="165">
        <f>Вспомогательный!AB79</f>
        <v>3866.666666666667</v>
      </c>
      <c r="AN23" s="165">
        <f>Вспомогательный!AC79</f>
        <v>3866.666666666667</v>
      </c>
      <c r="AO23" s="165">
        <f>Вспомогательный!AD79</f>
        <v>3866.666666666667</v>
      </c>
      <c r="AP23" s="165">
        <f t="shared" si="17"/>
        <v>57100.999999999993</v>
      </c>
      <c r="AQ23" s="165">
        <f>Вспомогательный!AF79</f>
        <v>4901</v>
      </c>
      <c r="AR23" s="165">
        <f>Вспомогательный!AG79</f>
        <v>4901</v>
      </c>
      <c r="AS23" s="165">
        <f>Вспомогательный!AH79</f>
        <v>4901</v>
      </c>
      <c r="AT23" s="165">
        <f>Вспомогательный!AI79</f>
        <v>5133</v>
      </c>
      <c r="AU23" s="165">
        <f>Вспомогательный!AJ79</f>
        <v>5133</v>
      </c>
      <c r="AV23" s="165">
        <f>Вспомогательный!AK79</f>
        <v>5133</v>
      </c>
      <c r="AW23" s="165">
        <f>Вспомогательный!AL79</f>
        <v>5133</v>
      </c>
      <c r="AX23" s="165">
        <f>Вспомогательный!AM79</f>
        <v>5133</v>
      </c>
      <c r="AY23" s="165">
        <f>Вспомогательный!AN79</f>
        <v>5133</v>
      </c>
      <c r="AZ23" s="165">
        <f>Вспомогательный!AO79</f>
        <v>3866.666666666667</v>
      </c>
      <c r="BA23" s="165">
        <f>Вспомогательный!AP79</f>
        <v>3866.666666666667</v>
      </c>
      <c r="BB23" s="165">
        <f>Вспомогательный!AQ79</f>
        <v>3866.666666666667</v>
      </c>
      <c r="BC23" s="165">
        <f t="shared" si="19"/>
        <v>57100.999999999993</v>
      </c>
      <c r="BD23" s="165">
        <f t="shared" si="20"/>
        <v>168048.33</v>
      </c>
      <c r="CN23" s="213"/>
      <c r="CO23" s="213"/>
      <c r="CP23" s="213"/>
      <c r="CQ23" s="213"/>
      <c r="CR23" s="213"/>
      <c r="CS23" s="213"/>
      <c r="CT23" s="213"/>
      <c r="CU23" s="213"/>
      <c r="CV23" s="213"/>
      <c r="CW23" s="213"/>
      <c r="CX23" s="213"/>
      <c r="CY23" s="213"/>
      <c r="CZ23" s="213"/>
      <c r="DA23" s="213"/>
    </row>
    <row r="24" spans="2:105" s="162" customFormat="1" ht="12" x14ac:dyDescent="0.2">
      <c r="B24" s="166" t="s">
        <v>224</v>
      </c>
      <c r="C24" s="165">
        <v>0</v>
      </c>
      <c r="D24" s="165">
        <f t="shared" si="24"/>
        <v>3713.5400000000009</v>
      </c>
      <c r="E24" s="165">
        <f t="shared" si="25"/>
        <v>3938.0000000000009</v>
      </c>
      <c r="F24" s="165">
        <f t="shared" si="26"/>
        <v>3938.0000000000009</v>
      </c>
      <c r="G24" s="165">
        <f t="shared" si="13"/>
        <v>11589.540000000003</v>
      </c>
      <c r="H24" s="147">
        <f t="shared" si="7"/>
        <v>224.46000000000004</v>
      </c>
      <c r="I24" s="138">
        <f t="shared" si="8"/>
        <v>6.0443673691410238E-2</v>
      </c>
      <c r="J24" s="147">
        <f t="shared" si="9"/>
        <v>0</v>
      </c>
      <c r="K24" s="138">
        <f t="shared" si="10"/>
        <v>0</v>
      </c>
      <c r="P24" s="165">
        <f t="shared" si="11"/>
        <v>0</v>
      </c>
      <c r="Q24" s="165">
        <f>Вспомогательный!F80</f>
        <v>338</v>
      </c>
      <c r="R24" s="165">
        <f>Вспомогательный!G80</f>
        <v>338</v>
      </c>
      <c r="S24" s="165">
        <f>Вспомогательный!H80</f>
        <v>338</v>
      </c>
      <c r="T24" s="165">
        <f>Вспомогательный!I80</f>
        <v>322.39499999999998</v>
      </c>
      <c r="U24" s="165">
        <f>Вспомогательный!J80</f>
        <v>304.98</v>
      </c>
      <c r="V24" s="165">
        <f>Вспомогательный!K80</f>
        <v>322.39499999999998</v>
      </c>
      <c r="W24" s="165">
        <f>Вспомогательный!L80</f>
        <v>322.39499999999998</v>
      </c>
      <c r="X24" s="165">
        <f>Вспомогательный!M80</f>
        <v>322.39499999999998</v>
      </c>
      <c r="Y24" s="165">
        <f>Вспомогательный!N80</f>
        <v>304.98</v>
      </c>
      <c r="Z24" s="165">
        <f>Вспомогательный!O80</f>
        <v>266.66666666666674</v>
      </c>
      <c r="AA24" s="165">
        <f>Вспомогательный!P80</f>
        <v>266.66666666666674</v>
      </c>
      <c r="AB24" s="165">
        <f>Вспомогательный!Q80</f>
        <v>266.66666666666674</v>
      </c>
      <c r="AC24" s="165">
        <f t="shared" si="15"/>
        <v>3713.5400000000009</v>
      </c>
      <c r="AD24" s="165">
        <f>Вспомогательный!S80</f>
        <v>338</v>
      </c>
      <c r="AE24" s="165">
        <f>Вспомогательный!T80</f>
        <v>338</v>
      </c>
      <c r="AF24" s="165">
        <f>Вспомогательный!U80</f>
        <v>338</v>
      </c>
      <c r="AG24" s="165">
        <f>Вспомогательный!V80</f>
        <v>354</v>
      </c>
      <c r="AH24" s="165">
        <f>Вспомогательный!W80</f>
        <v>354</v>
      </c>
      <c r="AI24" s="165">
        <f>Вспомогательный!X80</f>
        <v>354</v>
      </c>
      <c r="AJ24" s="165">
        <f>Вспомогательный!Y80</f>
        <v>354</v>
      </c>
      <c r="AK24" s="165">
        <f>Вспомогательный!Z80</f>
        <v>354</v>
      </c>
      <c r="AL24" s="165">
        <f>Вспомогательный!AA80</f>
        <v>354</v>
      </c>
      <c r="AM24" s="165">
        <f>Вспомогательный!AB80</f>
        <v>266.66666666666674</v>
      </c>
      <c r="AN24" s="165">
        <f>Вспомогательный!AC80</f>
        <v>266.66666666666674</v>
      </c>
      <c r="AO24" s="165">
        <f>Вспомогательный!AD80</f>
        <v>266.66666666666674</v>
      </c>
      <c r="AP24" s="165">
        <f t="shared" si="17"/>
        <v>3938.0000000000009</v>
      </c>
      <c r="AQ24" s="165">
        <f>Вспомогательный!AF80</f>
        <v>338</v>
      </c>
      <c r="AR24" s="165">
        <f>Вспомогательный!AG80</f>
        <v>338</v>
      </c>
      <c r="AS24" s="165">
        <f>Вспомогательный!AH80</f>
        <v>338</v>
      </c>
      <c r="AT24" s="165">
        <f>Вспомогательный!AI80</f>
        <v>354</v>
      </c>
      <c r="AU24" s="165">
        <f>Вспомогательный!AJ80</f>
        <v>354</v>
      </c>
      <c r="AV24" s="165">
        <f>Вспомогательный!AK80</f>
        <v>354</v>
      </c>
      <c r="AW24" s="165">
        <f>Вспомогательный!AL80</f>
        <v>354</v>
      </c>
      <c r="AX24" s="165">
        <f>Вспомогательный!AM80</f>
        <v>354</v>
      </c>
      <c r="AY24" s="165">
        <f>Вспомогательный!AN80</f>
        <v>354</v>
      </c>
      <c r="AZ24" s="165">
        <f>Вспомогательный!AO80</f>
        <v>266.66666666666674</v>
      </c>
      <c r="BA24" s="165">
        <f>Вспомогательный!AP80</f>
        <v>266.66666666666674</v>
      </c>
      <c r="BB24" s="165">
        <f>Вспомогательный!AQ80</f>
        <v>266.66666666666674</v>
      </c>
      <c r="BC24" s="165">
        <f t="shared" si="19"/>
        <v>3938.0000000000009</v>
      </c>
      <c r="BD24" s="165">
        <f t="shared" si="20"/>
        <v>11589.540000000003</v>
      </c>
      <c r="CN24" s="213"/>
      <c r="CO24" s="213"/>
      <c r="CP24" s="213"/>
      <c r="CQ24" s="213"/>
      <c r="CR24" s="213"/>
      <c r="CS24" s="213"/>
      <c r="CT24" s="213"/>
      <c r="CU24" s="213"/>
      <c r="CV24" s="213"/>
      <c r="CW24" s="213"/>
      <c r="CX24" s="213"/>
      <c r="CY24" s="213"/>
      <c r="CZ24" s="213"/>
      <c r="DA24" s="213"/>
    </row>
    <row r="25" spans="2:105" s="162" customFormat="1" ht="12" x14ac:dyDescent="0.2">
      <c r="B25" s="163" t="s">
        <v>229</v>
      </c>
      <c r="C25" s="164">
        <f>INDEX(Вспомогательный!E53:Q53,1,Результат!$CR$5+1)</f>
        <v>100000</v>
      </c>
      <c r="D25" s="164">
        <f t="shared" si="24"/>
        <v>600000</v>
      </c>
      <c r="E25" s="164">
        <f t="shared" si="25"/>
        <v>600000</v>
      </c>
      <c r="F25" s="164">
        <f t="shared" si="26"/>
        <v>600000</v>
      </c>
      <c r="G25" s="164">
        <f t="shared" si="13"/>
        <v>1900000</v>
      </c>
      <c r="H25" s="147">
        <f t="shared" si="7"/>
        <v>0</v>
      </c>
      <c r="I25" s="138">
        <f t="shared" si="8"/>
        <v>0</v>
      </c>
      <c r="J25" s="147">
        <f t="shared" si="9"/>
        <v>0</v>
      </c>
      <c r="K25" s="138">
        <f t="shared" si="10"/>
        <v>0</v>
      </c>
      <c r="P25" s="165">
        <f t="shared" si="11"/>
        <v>100000</v>
      </c>
      <c r="Q25" s="164">
        <f>IF(COLUMN()-16&lt;&gt;$CR$5,Вспомогательный!F53,0)</f>
        <v>50000</v>
      </c>
      <c r="R25" s="164">
        <f>IF(COLUMN()-16&lt;&gt;$CR$5,Вспомогательный!G53,0)</f>
        <v>50000</v>
      </c>
      <c r="S25" s="164">
        <f>IF(COLUMN()-16&lt;&gt;$CR$5,Вспомогательный!H53,0)</f>
        <v>50000</v>
      </c>
      <c r="T25" s="164">
        <f>IF(COLUMN()-16&lt;&gt;$CR$5,Вспомогательный!I53,0)</f>
        <v>50000</v>
      </c>
      <c r="U25" s="164">
        <f>IF(COLUMN()-16&lt;&gt;$CR$5,Вспомогательный!J53,0)</f>
        <v>50000</v>
      </c>
      <c r="V25" s="164">
        <f>IF(COLUMN()-16&lt;&gt;$CR$5,Вспомогательный!K53,0)</f>
        <v>50000</v>
      </c>
      <c r="W25" s="164">
        <f>IF(COLUMN()-16&lt;&gt;$CR$5,Вспомогательный!L53,0)</f>
        <v>50000</v>
      </c>
      <c r="X25" s="164">
        <f>IF(COLUMN()-16&lt;&gt;$CR$5,Вспомогательный!M53,0)</f>
        <v>50000</v>
      </c>
      <c r="Y25" s="164">
        <f>IF(COLUMN()-16&lt;&gt;$CR$5,Вспомогательный!N53,0)</f>
        <v>50000</v>
      </c>
      <c r="Z25" s="164">
        <f>IF(COLUMN()-16&lt;&gt;$CR$5,Вспомогательный!O53,0)</f>
        <v>50000</v>
      </c>
      <c r="AA25" s="164">
        <f>IF(COLUMN()-16&lt;&gt;$CR$5,Вспомогательный!P53,0)</f>
        <v>50000</v>
      </c>
      <c r="AB25" s="164">
        <f>IF(COLUMN()-16&lt;&gt;$CR$5,Вспомогательный!Q53,0)</f>
        <v>50000</v>
      </c>
      <c r="AC25" s="164">
        <f t="shared" si="15"/>
        <v>600000</v>
      </c>
      <c r="AD25" s="164">
        <f>IF(COLUMN()-16&lt;&gt;$CR$5,Вспомогательный!S53,0)</f>
        <v>50000</v>
      </c>
      <c r="AE25" s="164">
        <f>IF(COLUMN()-16&lt;&gt;$CR$5,Вспомогательный!T53,0)</f>
        <v>50000</v>
      </c>
      <c r="AF25" s="164">
        <f>IF(COLUMN()-16&lt;&gt;$CR$5,Вспомогательный!U53,0)</f>
        <v>50000</v>
      </c>
      <c r="AG25" s="164">
        <f>IF(COLUMN()-16&lt;&gt;$CR$5,Вспомогательный!V53,0)</f>
        <v>50000</v>
      </c>
      <c r="AH25" s="164">
        <f>IF(COLUMN()-16&lt;&gt;$CR$5,Вспомогательный!W53,0)</f>
        <v>50000</v>
      </c>
      <c r="AI25" s="164">
        <f>IF(COLUMN()-16&lt;&gt;$CR$5,Вспомогательный!X53,0)</f>
        <v>50000</v>
      </c>
      <c r="AJ25" s="164">
        <f>IF(COLUMN()-16&lt;&gt;$CR$5,Вспомогательный!Y53,0)</f>
        <v>50000</v>
      </c>
      <c r="AK25" s="164">
        <f>IF(COLUMN()-16&lt;&gt;$CR$5,Вспомогательный!Z53,0)</f>
        <v>50000</v>
      </c>
      <c r="AL25" s="164">
        <f>IF(COLUMN()-16&lt;&gt;$CR$5,Вспомогательный!AA53,0)</f>
        <v>50000</v>
      </c>
      <c r="AM25" s="164">
        <f>IF(COLUMN()-16&lt;&gt;$CR$5,Вспомогательный!AB53,0)</f>
        <v>50000</v>
      </c>
      <c r="AN25" s="164">
        <f>IF(COLUMN()-16&lt;&gt;$CR$5,Вспомогательный!AC53,0)</f>
        <v>50000</v>
      </c>
      <c r="AO25" s="164">
        <f>IF(COLUMN()-16&lt;&gt;$CR$5,Вспомогательный!AD53,0)</f>
        <v>50000</v>
      </c>
      <c r="AP25" s="164">
        <f t="shared" si="17"/>
        <v>600000</v>
      </c>
      <c r="AQ25" s="164">
        <f>IF(COLUMN()-16&lt;&gt;$CR$5,Вспомогательный!AF53,0)</f>
        <v>50000</v>
      </c>
      <c r="AR25" s="164">
        <f>IF(COLUMN()-16&lt;&gt;$CR$5,Вспомогательный!AG53,0)</f>
        <v>50000</v>
      </c>
      <c r="AS25" s="164">
        <f>IF(COLUMN()-16&lt;&gt;$CR$5,Вспомогательный!AH53,0)</f>
        <v>50000</v>
      </c>
      <c r="AT25" s="164">
        <f>IF(COLUMN()-16&lt;&gt;$CR$5,Вспомогательный!AI53,0)</f>
        <v>50000</v>
      </c>
      <c r="AU25" s="164">
        <f>IF(COLUMN()-16&lt;&gt;$CR$5,Вспомогательный!AJ53,0)</f>
        <v>50000</v>
      </c>
      <c r="AV25" s="164">
        <f>IF(COLUMN()-16&lt;&gt;$CR$5,Вспомогательный!AK53,0)</f>
        <v>50000</v>
      </c>
      <c r="AW25" s="164">
        <f>IF(COLUMN()-16&lt;&gt;$CR$5,Вспомогательный!AL53,0)</f>
        <v>50000</v>
      </c>
      <c r="AX25" s="164">
        <f>IF(COLUMN()-16&lt;&gt;$CR$5,Вспомогательный!AM53,0)</f>
        <v>50000</v>
      </c>
      <c r="AY25" s="164">
        <f>IF(COLUMN()-16&lt;&gt;$CR$5,Вспомогательный!AN53,0)</f>
        <v>50000</v>
      </c>
      <c r="AZ25" s="164">
        <f>IF(COLUMN()-16&lt;&gt;$CR$5,Вспомогательный!AO53,0)</f>
        <v>50000</v>
      </c>
      <c r="BA25" s="164">
        <f>IF(COLUMN()-16&lt;&gt;$CR$5,Вспомогательный!AP53,0)</f>
        <v>50000</v>
      </c>
      <c r="BB25" s="164">
        <f>IF(COLUMN()-16&lt;&gt;$CR$5,Вспомогательный!AQ53,0)</f>
        <v>50000</v>
      </c>
      <c r="BC25" s="164">
        <f t="shared" si="19"/>
        <v>600000</v>
      </c>
      <c r="BD25" s="164">
        <f t="shared" si="20"/>
        <v>1900000</v>
      </c>
      <c r="CN25" s="213"/>
      <c r="CO25" s="213"/>
      <c r="CP25" s="213"/>
      <c r="CQ25" s="213"/>
      <c r="CR25" s="213"/>
      <c r="CS25" s="213"/>
      <c r="CT25" s="213"/>
      <c r="CU25" s="213"/>
      <c r="CV25" s="213"/>
      <c r="CW25" s="213"/>
      <c r="CX25" s="213"/>
      <c r="CY25" s="213"/>
      <c r="CZ25" s="213"/>
      <c r="DA25" s="213"/>
    </row>
    <row r="26" spans="2:105" s="162" customFormat="1" ht="12" x14ac:dyDescent="0.2">
      <c r="B26" s="163" t="s">
        <v>230</v>
      </c>
      <c r="C26" s="164">
        <f ca="1">INDEX(Вспомогательный!E63:Q63,1,Результат!$CR$5+1)</f>
        <v>24000</v>
      </c>
      <c r="D26" s="164">
        <f t="shared" ca="1" si="24"/>
        <v>103000</v>
      </c>
      <c r="E26" s="164">
        <f t="shared" ca="1" si="25"/>
        <v>103000</v>
      </c>
      <c r="F26" s="164">
        <f t="shared" si="26"/>
        <v>79000</v>
      </c>
      <c r="G26" s="164">
        <f t="shared" ca="1" si="13"/>
        <v>309000</v>
      </c>
      <c r="H26" s="147">
        <f t="shared" ca="1" si="7"/>
        <v>0</v>
      </c>
      <c r="I26" s="138">
        <f t="shared" ca="1" si="8"/>
        <v>0</v>
      </c>
      <c r="J26" s="147">
        <f t="shared" ca="1" si="9"/>
        <v>-24000</v>
      </c>
      <c r="K26" s="138">
        <f t="shared" ca="1" si="10"/>
        <v>-0.23300970873786409</v>
      </c>
      <c r="P26" s="165">
        <f t="shared" ca="1" si="11"/>
        <v>24000</v>
      </c>
      <c r="Q26" s="164">
        <f ca="1">IF(COLUMN()-16&lt;&gt;$CR$5,Вспомогательный!F63,0)+Вспомогательный!F90+Вспомогательный!F99</f>
        <v>18000</v>
      </c>
      <c r="R26" s="164">
        <f ca="1">IF(COLUMN()-16&lt;&gt;$CR$5,Вспомогательный!G63,0)+Вспомогательный!G90+Вспомогательный!G99</f>
        <v>6000</v>
      </c>
      <c r="S26" s="164">
        <f ca="1">IF(COLUMN()-16&lt;&gt;$CR$5,Вспомогательный!H63,0)+Вспомогательный!H90+Вспомогательный!H99</f>
        <v>6000</v>
      </c>
      <c r="T26" s="164">
        <f ca="1">IF(COLUMN()-16&lt;&gt;$CR$5,Вспомогательный!I63,0)+Вспомогательный!I90+Вспомогательный!I99</f>
        <v>3500</v>
      </c>
      <c r="U26" s="164">
        <f ca="1">IF(COLUMN()-16&lt;&gt;$CR$5,Вспомогательный!J63,0)+Вспомогательный!J90+Вспомогательный!J99</f>
        <v>3500</v>
      </c>
      <c r="V26" s="164">
        <f ca="1">IF(COLUMN()-16&lt;&gt;$CR$5,Вспомогательный!K63,0)+Вспомогательный!K90+Вспомогательный!K99</f>
        <v>500</v>
      </c>
      <c r="W26" s="164">
        <f ca="1">IF(COLUMN()-16&lt;&gt;$CR$5,Вспомогательный!L63,0)+Вспомогательный!L90+Вспомогательный!L99</f>
        <v>500</v>
      </c>
      <c r="X26" s="164">
        <f ca="1">IF(COLUMN()-16&lt;&gt;$CR$5,Вспомогательный!M63,0)+Вспомогательный!M90+Вспомогательный!M99</f>
        <v>500</v>
      </c>
      <c r="Y26" s="164">
        <f ca="1">IF(COLUMN()-16&lt;&gt;$CR$5,Вспомогательный!N63,0)+Вспомогательный!N90+Вспомогательный!N99</f>
        <v>500</v>
      </c>
      <c r="Z26" s="164">
        <f ca="1">IF(COLUMN()-16&lt;&gt;$CR$5,Вспомогательный!O63,0)+Вспомогательный!O90+Вспомогательный!O99</f>
        <v>13333.333333333334</v>
      </c>
      <c r="AA26" s="164">
        <f ca="1">IF(COLUMN()-16&lt;&gt;$CR$5,Вспомогательный!P63,0)+Вспомогательный!P90+Вспомогательный!P99</f>
        <v>13333.333333333334</v>
      </c>
      <c r="AB26" s="164">
        <f>IF(COLUMN()-16&lt;&gt;$CR$5,Вспомогательный!Q63,0)+Вспомогательный!Q90+Вспомогательный!Q99</f>
        <v>37333.333333333336</v>
      </c>
      <c r="AC26" s="164">
        <f t="shared" ca="1" si="15"/>
        <v>103000</v>
      </c>
      <c r="AD26" s="164">
        <f>IF(COLUMN()-16&lt;&gt;$CR$5,Вспомогательный!S63,0)+Вспомогательный!S90+Вспомогательный!S99</f>
        <v>18000</v>
      </c>
      <c r="AE26" s="164">
        <f>IF(COLUMN()-16&lt;&gt;$CR$5,Вспомогательный!T63,0)+Вспомогательный!T90+Вспомогательный!T99</f>
        <v>6000</v>
      </c>
      <c r="AF26" s="164">
        <f>IF(COLUMN()-16&lt;&gt;$CR$5,Вспомогательный!U63,0)+Вспомогательный!U90+Вспомогательный!U99</f>
        <v>6000</v>
      </c>
      <c r="AG26" s="164">
        <f>IF(COLUMN()-16&lt;&gt;$CR$5,Вспомогательный!V63,0)+Вспомогательный!V90+Вспомогательный!V99</f>
        <v>3500</v>
      </c>
      <c r="AH26" s="164">
        <f>IF(COLUMN()-16&lt;&gt;$CR$5,Вспомогательный!W63,0)+Вспомогательный!W90+Вспомогательный!W99</f>
        <v>3500</v>
      </c>
      <c r="AI26" s="164">
        <f>IF(COLUMN()-16&lt;&gt;$CR$5,Вспомогательный!X63,0)+Вспомогательный!X90+Вспомогательный!X99</f>
        <v>500</v>
      </c>
      <c r="AJ26" s="164">
        <f>IF(COLUMN()-16&lt;&gt;$CR$5,Вспомогательный!Y63,0)+Вспомогательный!Y90+Вспомогательный!Y99</f>
        <v>500</v>
      </c>
      <c r="AK26" s="164">
        <f>IF(COLUMN()-16&lt;&gt;$CR$5,Вспомогательный!Z63,0)+Вспомогательный!Z90+Вспомогательный!Z99</f>
        <v>500</v>
      </c>
      <c r="AL26" s="164">
        <f>IF(COLUMN()-16&lt;&gt;$CR$5,Вспомогательный!AA63,0)+Вспомогательный!AA90+Вспомогательный!AA99</f>
        <v>500</v>
      </c>
      <c r="AM26" s="164">
        <f ca="1">IF(COLUMN()-16&lt;&gt;$CR$5,Вспомогательный!AB63,0)+Вспомогательный!AB90+Вспомогательный!AB99</f>
        <v>13333.333333333334</v>
      </c>
      <c r="AN26" s="164">
        <f ca="1">IF(COLUMN()-16&lt;&gt;$CR$5,Вспомогательный!AC63,0)+Вспомогательный!AC90+Вспомогательный!AC99</f>
        <v>13333.333333333334</v>
      </c>
      <c r="AO26" s="164">
        <f>IF(COLUMN()-16&lt;&gt;$CR$5,Вспомогательный!AD63,0)+Вспомогательный!AD90+Вспомогательный!AD99</f>
        <v>37333.333333333336</v>
      </c>
      <c r="AP26" s="164">
        <f t="shared" ca="1" si="17"/>
        <v>103000</v>
      </c>
      <c r="AQ26" s="164">
        <f>IF(COLUMN()-16&lt;&gt;$CR$5,Вспомогательный!AF63,0)+Вспомогательный!AF90+Вспомогательный!AF99</f>
        <v>18000</v>
      </c>
      <c r="AR26" s="164">
        <f>IF(COLUMN()-16&lt;&gt;$CR$5,Вспомогательный!AG63,0)+Вспомогательный!AG90+Вспомогательный!AG99</f>
        <v>6000</v>
      </c>
      <c r="AS26" s="164">
        <f>IF(COLUMN()-16&lt;&gt;$CR$5,Вспомогательный!AH63,0)+Вспомогательный!AH90+Вспомогательный!AH99</f>
        <v>6000</v>
      </c>
      <c r="AT26" s="164">
        <f>IF(COLUMN()-16&lt;&gt;$CR$5,Вспомогательный!AI63,0)+Вспомогательный!AI90+Вспомогательный!AI99</f>
        <v>3500</v>
      </c>
      <c r="AU26" s="164">
        <f>IF(COLUMN()-16&lt;&gt;$CR$5,Вспомогательный!AJ63,0)+Вспомогательный!AJ90+Вспомогательный!AJ99</f>
        <v>3500</v>
      </c>
      <c r="AV26" s="164">
        <f>IF(COLUMN()-16&lt;&gt;$CR$5,Вспомогательный!AK63,0)+Вспомогательный!AK90+Вспомогательный!AK99</f>
        <v>500</v>
      </c>
      <c r="AW26" s="164">
        <f>IF(COLUMN()-16&lt;&gt;$CR$5,Вспомогательный!AL63,0)+Вспомогательный!AL90+Вспомогательный!AL99</f>
        <v>500</v>
      </c>
      <c r="AX26" s="164">
        <f>IF(COLUMN()-16&lt;&gt;$CR$5,Вспомогательный!AM63,0)+Вспомогательный!AM90+Вспомогательный!AM99</f>
        <v>500</v>
      </c>
      <c r="AY26" s="164">
        <f>IF(COLUMN()-16&lt;&gt;$CR$5,Вспомогательный!AN63,0)+Вспомогательный!AN90+Вспомогательный!AN99</f>
        <v>500</v>
      </c>
      <c r="AZ26" s="164">
        <f>IF(COLUMN()-16&lt;&gt;$CR$5,Вспомогательный!AO63,0)+Вспомогательный!AO90+Вспомогательный!AO99</f>
        <v>13333.333333333334</v>
      </c>
      <c r="BA26" s="164">
        <f>IF(COLUMN()-16&lt;&gt;$CR$5,Вспомогательный!AP63,0)+Вспомогательный!AP90+Вспомогательный!AP99</f>
        <v>13333.333333333334</v>
      </c>
      <c r="BB26" s="164">
        <f>IF(COLUMN()-16&lt;&gt;$CR$5,Вспомогательный!AQ63,0)+Вспомогательный!AQ90+Вспомогательный!AQ99</f>
        <v>13333.333333333334</v>
      </c>
      <c r="BC26" s="164">
        <f t="shared" si="19"/>
        <v>79000</v>
      </c>
      <c r="BD26" s="164">
        <f t="shared" ca="1" si="20"/>
        <v>309000</v>
      </c>
      <c r="CN26" s="213"/>
      <c r="CO26" s="213"/>
      <c r="CP26" s="213"/>
      <c r="CQ26" s="213"/>
      <c r="CR26" s="213"/>
      <c r="CS26" s="213"/>
      <c r="CT26" s="213"/>
      <c r="CU26" s="213"/>
      <c r="CV26" s="213"/>
      <c r="CW26" s="213"/>
      <c r="CX26" s="213"/>
      <c r="CY26" s="213"/>
      <c r="CZ26" s="213"/>
      <c r="DA26" s="213"/>
    </row>
    <row r="27" spans="2:105" s="162" customFormat="1" ht="12" x14ac:dyDescent="0.2">
      <c r="B27" s="163" t="s">
        <v>2</v>
      </c>
      <c r="C27" s="164">
        <f t="shared" ref="C27:E27" si="27">SUM(C28:C30)</f>
        <v>1000</v>
      </c>
      <c r="D27" s="164">
        <f t="shared" si="27"/>
        <v>329389.69999999995</v>
      </c>
      <c r="E27" s="164">
        <f t="shared" si="27"/>
        <v>344044.39999999997</v>
      </c>
      <c r="F27" s="164">
        <f>SUM(F28:F30)</f>
        <v>355279.67</v>
      </c>
      <c r="G27" s="164">
        <f t="shared" si="13"/>
        <v>1029713.7699999998</v>
      </c>
      <c r="H27" s="147">
        <f t="shared" si="7"/>
        <v>14654.700000000012</v>
      </c>
      <c r="I27" s="138">
        <f t="shared" si="8"/>
        <v>4.449046220935271E-2</v>
      </c>
      <c r="J27" s="147">
        <f t="shared" si="9"/>
        <v>11235.270000000019</v>
      </c>
      <c r="K27" s="138">
        <f t="shared" si="10"/>
        <v>3.2656453643773897E-2</v>
      </c>
      <c r="P27" s="165">
        <f t="shared" si="11"/>
        <v>1000</v>
      </c>
      <c r="Q27" s="165">
        <f t="shared" ref="Q27:AB27" si="28">SUM(Q28:Q30)</f>
        <v>19874.287499999999</v>
      </c>
      <c r="R27" s="165">
        <f t="shared" si="28"/>
        <v>12706.125</v>
      </c>
      <c r="S27" s="165">
        <f t="shared" si="28"/>
        <v>13316.737499999999</v>
      </c>
      <c r="T27" s="165">
        <f t="shared" si="28"/>
        <v>29393.962500000001</v>
      </c>
      <c r="U27" s="165">
        <f t="shared" si="28"/>
        <v>28783.35</v>
      </c>
      <c r="V27" s="165">
        <f t="shared" si="28"/>
        <v>29393.962500000001</v>
      </c>
      <c r="W27" s="165">
        <f t="shared" si="28"/>
        <v>29393.962500000001</v>
      </c>
      <c r="X27" s="165">
        <f t="shared" si="28"/>
        <v>29393.962500000001</v>
      </c>
      <c r="Y27" s="165">
        <f t="shared" si="28"/>
        <v>28783.35</v>
      </c>
      <c r="Z27" s="165">
        <f t="shared" si="28"/>
        <v>36116.666666666672</v>
      </c>
      <c r="AA27" s="165">
        <f t="shared" si="28"/>
        <v>36116.666666666672</v>
      </c>
      <c r="AB27" s="165">
        <f t="shared" si="28"/>
        <v>36116.666666666672</v>
      </c>
      <c r="AC27" s="164">
        <f t="shared" si="15"/>
        <v>329389.69999999995</v>
      </c>
      <c r="AD27" s="165">
        <f t="shared" ref="AD27:AO27" si="29">SUM(AD28:AD30)</f>
        <v>23904.329999999998</v>
      </c>
      <c r="AE27" s="165">
        <f t="shared" si="29"/>
        <v>15514.942499999999</v>
      </c>
      <c r="AF27" s="165">
        <f t="shared" si="29"/>
        <v>15514.942499999999</v>
      </c>
      <c r="AG27" s="165">
        <f t="shared" si="29"/>
        <v>30370.942499999997</v>
      </c>
      <c r="AH27" s="165">
        <f t="shared" si="29"/>
        <v>29638.2075</v>
      </c>
      <c r="AI27" s="165">
        <f t="shared" si="29"/>
        <v>30370.942499999997</v>
      </c>
      <c r="AJ27" s="165">
        <f t="shared" si="29"/>
        <v>30370.942499999997</v>
      </c>
      <c r="AK27" s="165">
        <f t="shared" si="29"/>
        <v>30370.942499999997</v>
      </c>
      <c r="AL27" s="165">
        <f t="shared" si="29"/>
        <v>29638.2075</v>
      </c>
      <c r="AM27" s="165">
        <f t="shared" si="29"/>
        <v>36116.666666666672</v>
      </c>
      <c r="AN27" s="165">
        <f t="shared" si="29"/>
        <v>36116.666666666672</v>
      </c>
      <c r="AO27" s="165">
        <f t="shared" si="29"/>
        <v>36116.666666666672</v>
      </c>
      <c r="AP27" s="164">
        <f t="shared" si="17"/>
        <v>344044.39999999997</v>
      </c>
      <c r="AQ27" s="165">
        <f t="shared" ref="AQ27:BB27" si="30">SUM(AQ28:AQ30)</f>
        <v>24881.310000000005</v>
      </c>
      <c r="AR27" s="165">
        <f t="shared" si="30"/>
        <v>16614.044999999998</v>
      </c>
      <c r="AS27" s="165">
        <f t="shared" si="30"/>
        <v>16858.29</v>
      </c>
      <c r="AT27" s="165">
        <f t="shared" si="30"/>
        <v>31714.29</v>
      </c>
      <c r="AU27" s="165">
        <f t="shared" si="30"/>
        <v>30859.432500000003</v>
      </c>
      <c r="AV27" s="165">
        <f t="shared" si="30"/>
        <v>31714.29</v>
      </c>
      <c r="AW27" s="165">
        <f t="shared" si="30"/>
        <v>31714.29</v>
      </c>
      <c r="AX27" s="165">
        <f t="shared" si="30"/>
        <v>31714.29</v>
      </c>
      <c r="AY27" s="165">
        <f t="shared" si="30"/>
        <v>30859.432500000003</v>
      </c>
      <c r="AZ27" s="165">
        <f t="shared" si="30"/>
        <v>36116.666666666672</v>
      </c>
      <c r="BA27" s="165">
        <f t="shared" si="30"/>
        <v>36116.666666666672</v>
      </c>
      <c r="BB27" s="165">
        <f t="shared" si="30"/>
        <v>36116.666666666672</v>
      </c>
      <c r="BC27" s="164">
        <f t="shared" si="19"/>
        <v>355279.67</v>
      </c>
      <c r="BD27" s="164">
        <f t="shared" si="20"/>
        <v>1029713.7699999998</v>
      </c>
      <c r="CN27" s="213"/>
      <c r="CO27" s="213"/>
      <c r="CP27" s="213"/>
      <c r="CQ27" s="213"/>
      <c r="CR27" s="213"/>
      <c r="CS27" s="213"/>
      <c r="CT27" s="213"/>
      <c r="CU27" s="213"/>
      <c r="CV27" s="213"/>
      <c r="CW27" s="213"/>
      <c r="CX27" s="213"/>
      <c r="CY27" s="213"/>
      <c r="CZ27" s="213"/>
      <c r="DA27" s="213"/>
    </row>
    <row r="28" spans="2:105" s="162" customFormat="1" ht="12" x14ac:dyDescent="0.2">
      <c r="B28" s="166" t="s">
        <v>225</v>
      </c>
      <c r="C28" s="165">
        <f>INDEX(Вспомогательный!E65:Q65,1,Результат!$CR$5+1)</f>
        <v>1000</v>
      </c>
      <c r="D28" s="165">
        <f>SUM(Q28:AB28)</f>
        <v>12000</v>
      </c>
      <c r="E28" s="165">
        <f>SUM(AD28:AO28)</f>
        <v>12000</v>
      </c>
      <c r="F28" s="165">
        <f>SUM(AQ28:BB28)</f>
        <v>12000</v>
      </c>
      <c r="G28" s="165">
        <f t="shared" si="13"/>
        <v>37000</v>
      </c>
      <c r="H28" s="147">
        <f t="shared" si="7"/>
        <v>0</v>
      </c>
      <c r="I28" s="138">
        <f t="shared" si="8"/>
        <v>0</v>
      </c>
      <c r="J28" s="147">
        <f t="shared" si="9"/>
        <v>0</v>
      </c>
      <c r="K28" s="138">
        <f t="shared" si="10"/>
        <v>0</v>
      </c>
      <c r="P28" s="165">
        <f t="shared" si="11"/>
        <v>1000</v>
      </c>
      <c r="Q28" s="165">
        <f>IF(COLUMN()-16&lt;&gt;$CR$5,Вспомогательный!F65,0)</f>
        <v>1000</v>
      </c>
      <c r="R28" s="165">
        <f>IF(COLUMN()-16&lt;&gt;$CR$5,Вспомогательный!G65,0)</f>
        <v>1000</v>
      </c>
      <c r="S28" s="165">
        <f>IF(COLUMN()-16&lt;&gt;$CR$5,Вспомогательный!H65,0)</f>
        <v>1000</v>
      </c>
      <c r="T28" s="165">
        <f>IF(COLUMN()-16&lt;&gt;$CR$5,Вспомогательный!I65,0)</f>
        <v>1000</v>
      </c>
      <c r="U28" s="165">
        <f>IF(COLUMN()-16&lt;&gt;$CR$5,Вспомогательный!J65,0)</f>
        <v>1000</v>
      </c>
      <c r="V28" s="165">
        <f>IF(COLUMN()-16&lt;&gt;$CR$5,Вспомогательный!K65,0)</f>
        <v>1000</v>
      </c>
      <c r="W28" s="165">
        <f>IF(COLUMN()-16&lt;&gt;$CR$5,Вспомогательный!L65,0)</f>
        <v>1000</v>
      </c>
      <c r="X28" s="165">
        <f>IF(COLUMN()-16&lt;&gt;$CR$5,Вспомогательный!M65,0)</f>
        <v>1000</v>
      </c>
      <c r="Y28" s="165">
        <f>IF(COLUMN()-16&lt;&gt;$CR$5,Вспомогательный!N65,0)</f>
        <v>1000</v>
      </c>
      <c r="Z28" s="165">
        <f>IF(COLUMN()-16&lt;&gt;$CR$5,Вспомогательный!O65,0)</f>
        <v>1000</v>
      </c>
      <c r="AA28" s="165">
        <f>IF(COLUMN()-16&lt;&gt;$CR$5,Вспомогательный!P65,0)</f>
        <v>1000</v>
      </c>
      <c r="AB28" s="165">
        <f>IF(COLUMN()-16&lt;&gt;$CR$5,Вспомогательный!Q65,0)</f>
        <v>1000</v>
      </c>
      <c r="AC28" s="165">
        <f t="shared" si="15"/>
        <v>12000</v>
      </c>
      <c r="AD28" s="165">
        <f>IF(COLUMN()-16&lt;&gt;$CR$5,Вспомогательный!S65,0)</f>
        <v>1000</v>
      </c>
      <c r="AE28" s="165">
        <f>IF(COLUMN()-16&lt;&gt;$CR$5,Вспомогательный!T65,0)</f>
        <v>1000</v>
      </c>
      <c r="AF28" s="165">
        <f>IF(COLUMN()-16&lt;&gt;$CR$5,Вспомогательный!U65,0)</f>
        <v>1000</v>
      </c>
      <c r="AG28" s="165">
        <f>IF(COLUMN()-16&lt;&gt;$CR$5,Вспомогательный!V65,0)</f>
        <v>1000</v>
      </c>
      <c r="AH28" s="165">
        <f>IF(COLUMN()-16&lt;&gt;$CR$5,Вспомогательный!W65,0)</f>
        <v>1000</v>
      </c>
      <c r="AI28" s="165">
        <f>IF(COLUMN()-16&lt;&gt;$CR$5,Вспомогательный!X65,0)</f>
        <v>1000</v>
      </c>
      <c r="AJ28" s="165">
        <f>IF(COLUMN()-16&lt;&gt;$CR$5,Вспомогательный!Y65,0)</f>
        <v>1000</v>
      </c>
      <c r="AK28" s="165">
        <f>IF(COLUMN()-16&lt;&gt;$CR$5,Вспомогательный!Z65,0)</f>
        <v>1000</v>
      </c>
      <c r="AL28" s="165">
        <f>IF(COLUMN()-16&lt;&gt;$CR$5,Вспомогательный!AA65,0)</f>
        <v>1000</v>
      </c>
      <c r="AM28" s="165">
        <f>IF(COLUMN()-16&lt;&gt;$CR$5,Вспомогательный!AB65,0)</f>
        <v>1000</v>
      </c>
      <c r="AN28" s="165">
        <f>IF(COLUMN()-16&lt;&gt;$CR$5,Вспомогательный!AC65,0)</f>
        <v>1000</v>
      </c>
      <c r="AO28" s="165">
        <f>IF(COLUMN()-16&lt;&gt;$CR$5,Вспомогательный!AD65,0)</f>
        <v>1000</v>
      </c>
      <c r="AP28" s="165">
        <f t="shared" si="17"/>
        <v>12000</v>
      </c>
      <c r="AQ28" s="165">
        <f>IF(COLUMN()-16&lt;&gt;$CR$5,Вспомогательный!AF65,0)</f>
        <v>1000</v>
      </c>
      <c r="AR28" s="165">
        <f>IF(COLUMN()-16&lt;&gt;$CR$5,Вспомогательный!AG65,0)</f>
        <v>1000</v>
      </c>
      <c r="AS28" s="165">
        <f>IF(COLUMN()-16&lt;&gt;$CR$5,Вспомогательный!AH65,0)</f>
        <v>1000</v>
      </c>
      <c r="AT28" s="165">
        <f>IF(COLUMN()-16&lt;&gt;$CR$5,Вспомогательный!AI65,0)</f>
        <v>1000</v>
      </c>
      <c r="AU28" s="165">
        <f>IF(COLUMN()-16&lt;&gt;$CR$5,Вспомогательный!AJ65,0)</f>
        <v>1000</v>
      </c>
      <c r="AV28" s="165">
        <f>IF(COLUMN()-16&lt;&gt;$CR$5,Вспомогательный!AK65,0)</f>
        <v>1000</v>
      </c>
      <c r="AW28" s="165">
        <f>IF(COLUMN()-16&lt;&gt;$CR$5,Вспомогательный!AL65,0)</f>
        <v>1000</v>
      </c>
      <c r="AX28" s="165">
        <f>IF(COLUMN()-16&lt;&gt;$CR$5,Вспомогательный!AM65,0)</f>
        <v>1000</v>
      </c>
      <c r="AY28" s="165">
        <f>IF(COLUMN()-16&lt;&gt;$CR$5,Вспомогательный!AN65,0)</f>
        <v>1000</v>
      </c>
      <c r="AZ28" s="165">
        <f>IF(COLUMN()-16&lt;&gt;$CR$5,Вспомогательный!AO65,0)</f>
        <v>1000</v>
      </c>
      <c r="BA28" s="165">
        <f>IF(COLUMN()-16&lt;&gt;$CR$5,Вспомогательный!AP65,0)</f>
        <v>1000</v>
      </c>
      <c r="BB28" s="165">
        <f>IF(COLUMN()-16&lt;&gt;$CR$5,Вспомогательный!AQ65,0)</f>
        <v>1000</v>
      </c>
      <c r="BC28" s="165">
        <f t="shared" si="19"/>
        <v>12000</v>
      </c>
      <c r="BD28" s="165">
        <f t="shared" si="20"/>
        <v>37000</v>
      </c>
      <c r="CN28" s="213"/>
      <c r="CO28" s="213"/>
      <c r="CP28" s="213"/>
      <c r="CQ28" s="213"/>
      <c r="CR28" s="213"/>
      <c r="CS28" s="213"/>
      <c r="CT28" s="213"/>
      <c r="CU28" s="213"/>
      <c r="CV28" s="213"/>
      <c r="CW28" s="213"/>
      <c r="CX28" s="213"/>
      <c r="CY28" s="213"/>
      <c r="CZ28" s="213"/>
      <c r="DA28" s="213"/>
    </row>
    <row r="29" spans="2:105" s="162" customFormat="1" ht="12" x14ac:dyDescent="0.2">
      <c r="B29" s="166" t="s">
        <v>226</v>
      </c>
      <c r="C29" s="165">
        <v>0</v>
      </c>
      <c r="D29" s="165">
        <f>SUM(Q29:AB29)</f>
        <v>74789.7</v>
      </c>
      <c r="E29" s="165">
        <f>SUM(AD29:AO29)</f>
        <v>89444.4</v>
      </c>
      <c r="F29" s="165">
        <f>SUM(AQ29:BB29)</f>
        <v>100679.67000000001</v>
      </c>
      <c r="G29" s="165">
        <f t="shared" si="13"/>
        <v>264913.77</v>
      </c>
      <c r="H29" s="147">
        <f t="shared" si="7"/>
        <v>14654.699999999997</v>
      </c>
      <c r="I29" s="138">
        <f t="shared" si="8"/>
        <v>0.1959454309884916</v>
      </c>
      <c r="J29" s="147">
        <f t="shared" si="9"/>
        <v>11235.270000000019</v>
      </c>
      <c r="K29" s="138">
        <f t="shared" si="10"/>
        <v>0.12561177670150414</v>
      </c>
      <c r="P29" s="165">
        <f t="shared" si="11"/>
        <v>0</v>
      </c>
      <c r="Q29" s="165">
        <f>Вспомогательный!F66</f>
        <v>4274.2874999999995</v>
      </c>
      <c r="R29" s="165">
        <f>Вспомогательный!G66</f>
        <v>6106.125</v>
      </c>
      <c r="S29" s="165">
        <f>Вспомогательный!H66</f>
        <v>6716.7375000000002</v>
      </c>
      <c r="T29" s="165">
        <f>Вспомогательный!I66</f>
        <v>8393.9624999999996</v>
      </c>
      <c r="U29" s="165">
        <f>Вспомогательный!J66</f>
        <v>7783.35</v>
      </c>
      <c r="V29" s="165">
        <f>Вспомогательный!K66</f>
        <v>8393.9624999999996</v>
      </c>
      <c r="W29" s="165">
        <f>Вспомогательный!L66</f>
        <v>8393.9624999999996</v>
      </c>
      <c r="X29" s="165">
        <f>Вспомогательный!M66</f>
        <v>8393.9624999999996</v>
      </c>
      <c r="Y29" s="165">
        <f>Вспомогательный!N66</f>
        <v>7783.35</v>
      </c>
      <c r="Z29" s="165">
        <f>Вспомогательный!O66</f>
        <v>2850</v>
      </c>
      <c r="AA29" s="165">
        <f>Вспомогательный!P66</f>
        <v>2850</v>
      </c>
      <c r="AB29" s="165">
        <f>Вспомогательный!Q66</f>
        <v>2850</v>
      </c>
      <c r="AC29" s="165">
        <f t="shared" si="15"/>
        <v>74789.7</v>
      </c>
      <c r="AD29" s="165">
        <f>Вспомогательный!S66</f>
        <v>8304.3299999999981</v>
      </c>
      <c r="AE29" s="165">
        <f>Вспомогательный!T66</f>
        <v>8914.9424999999992</v>
      </c>
      <c r="AF29" s="165">
        <f>Вспомогательный!U66</f>
        <v>8914.9424999999992</v>
      </c>
      <c r="AG29" s="165">
        <f>Вспомогательный!V66</f>
        <v>9370.9424999999992</v>
      </c>
      <c r="AH29" s="165">
        <f>Вспомогательный!W66</f>
        <v>8638.2075000000004</v>
      </c>
      <c r="AI29" s="165">
        <f>Вспомогательный!X66</f>
        <v>9370.9424999999992</v>
      </c>
      <c r="AJ29" s="165">
        <f>Вспомогательный!Y66</f>
        <v>9370.9424999999992</v>
      </c>
      <c r="AK29" s="165">
        <f>Вспомогательный!Z66</f>
        <v>9370.9424999999992</v>
      </c>
      <c r="AL29" s="165">
        <f>Вспомогательный!AA66</f>
        <v>8638.2075000000004</v>
      </c>
      <c r="AM29" s="165">
        <f>Вспомогательный!AB66</f>
        <v>2850</v>
      </c>
      <c r="AN29" s="165">
        <f>Вспомогательный!AC66</f>
        <v>2850</v>
      </c>
      <c r="AO29" s="165">
        <f>Вспомогательный!AD66</f>
        <v>2850</v>
      </c>
      <c r="AP29" s="165">
        <f t="shared" si="17"/>
        <v>89444.4</v>
      </c>
      <c r="AQ29" s="165">
        <f>Вспомогательный!AF66</f>
        <v>9281.3100000000031</v>
      </c>
      <c r="AR29" s="165">
        <f>Вспомогательный!AG66</f>
        <v>10014.045</v>
      </c>
      <c r="AS29" s="165">
        <f>Вспомогательный!AH66</f>
        <v>10258.290000000001</v>
      </c>
      <c r="AT29" s="165">
        <f>Вспомогательный!AI66</f>
        <v>10714.29</v>
      </c>
      <c r="AU29" s="165">
        <f>Вспомогательный!AJ66</f>
        <v>9859.4325000000008</v>
      </c>
      <c r="AV29" s="165">
        <f>Вспомогательный!AK66</f>
        <v>10714.29</v>
      </c>
      <c r="AW29" s="165">
        <f>Вспомогательный!AL66</f>
        <v>10714.29</v>
      </c>
      <c r="AX29" s="165">
        <f>Вспомогательный!AM66</f>
        <v>10714.29</v>
      </c>
      <c r="AY29" s="165">
        <f>Вспомогательный!AN66</f>
        <v>9859.4325000000008</v>
      </c>
      <c r="AZ29" s="165">
        <f>Вспомогательный!AO66</f>
        <v>2850</v>
      </c>
      <c r="BA29" s="165">
        <f>Вспомогательный!AP66</f>
        <v>2850</v>
      </c>
      <c r="BB29" s="165">
        <f>Вспомогательный!AQ66</f>
        <v>2850</v>
      </c>
      <c r="BC29" s="165">
        <f t="shared" si="19"/>
        <v>100679.67000000001</v>
      </c>
      <c r="BD29" s="165">
        <f t="shared" si="20"/>
        <v>264913.77</v>
      </c>
      <c r="CN29" s="213"/>
      <c r="CO29" s="213"/>
      <c r="CP29" s="213"/>
      <c r="CQ29" s="213"/>
      <c r="CR29" s="213"/>
      <c r="CS29" s="213"/>
      <c r="CT29" s="213"/>
      <c r="CU29" s="213"/>
      <c r="CV29" s="213"/>
      <c r="CW29" s="213"/>
      <c r="CX29" s="213"/>
      <c r="CY29" s="213"/>
      <c r="CZ29" s="213"/>
      <c r="DA29" s="213"/>
    </row>
    <row r="30" spans="2:105" s="162" customFormat="1" ht="12" x14ac:dyDescent="0.2">
      <c r="B30" s="166" t="s">
        <v>227</v>
      </c>
      <c r="C30" s="165">
        <v>0</v>
      </c>
      <c r="D30" s="165">
        <f>SUM(Q30:AB30)</f>
        <v>242599.99999999997</v>
      </c>
      <c r="E30" s="165">
        <f>SUM(AD30:AO30)</f>
        <v>242599.99999999997</v>
      </c>
      <c r="F30" s="165">
        <f>SUM(AQ30:BB30)</f>
        <v>242599.99999999997</v>
      </c>
      <c r="G30" s="165">
        <f t="shared" si="13"/>
        <v>727799.99999999988</v>
      </c>
      <c r="H30" s="147">
        <f t="shared" si="7"/>
        <v>0</v>
      </c>
      <c r="I30" s="138">
        <f t="shared" si="8"/>
        <v>0</v>
      </c>
      <c r="J30" s="147">
        <f t="shared" si="9"/>
        <v>0</v>
      </c>
      <c r="K30" s="138">
        <f t="shared" si="10"/>
        <v>0</v>
      </c>
      <c r="P30" s="165">
        <f t="shared" si="11"/>
        <v>0</v>
      </c>
      <c r="Q30" s="165">
        <f>Вспомогательный!F59+Вспомогательный!F88+Вспомогательный!F96+Вспомогательный!F101</f>
        <v>14600</v>
      </c>
      <c r="R30" s="165">
        <f>Вспомогательный!G59+Вспомогательный!G88+Вспомогательный!G96+Вспомогательный!G101</f>
        <v>5600</v>
      </c>
      <c r="S30" s="165">
        <f>Вспомогательный!H59+Вспомогательный!H88+Вспомогательный!H96+Вспомогательный!H101</f>
        <v>5600</v>
      </c>
      <c r="T30" s="165">
        <f>Вспомогательный!I59+Вспомогательный!I88+Вспомогательный!I96+Вспомогательный!I101</f>
        <v>20000</v>
      </c>
      <c r="U30" s="165">
        <f>Вспомогательный!J59+Вспомогательный!J88+Вспомогательный!J96+Вспомогательный!J101</f>
        <v>20000</v>
      </c>
      <c r="V30" s="165">
        <f>Вспомогательный!K59+Вспомогательный!K88+Вспомогательный!K96+Вспомогательный!K101</f>
        <v>20000</v>
      </c>
      <c r="W30" s="165">
        <f>Вспомогательный!L59+Вспомогательный!L88+Вспомогательный!L96+Вспомогательный!L101</f>
        <v>20000</v>
      </c>
      <c r="X30" s="165">
        <f>Вспомогательный!M59+Вспомогательный!M88+Вспомогательный!M96+Вспомогательный!M101</f>
        <v>20000</v>
      </c>
      <c r="Y30" s="165">
        <f>Вспомогательный!N59+Вспомогательный!N88+Вспомогательный!N96+Вспомогательный!N101</f>
        <v>20000</v>
      </c>
      <c r="Z30" s="165">
        <f>Вспомогательный!O59+Вспомогательный!O88+Вспомогательный!O96+Вспомогательный!O101</f>
        <v>32266.666666666668</v>
      </c>
      <c r="AA30" s="165">
        <f>Вспомогательный!P59+Вспомогательный!P88+Вспомогательный!P96+Вспомогательный!P101</f>
        <v>32266.666666666668</v>
      </c>
      <c r="AB30" s="165">
        <f>Вспомогательный!P59+Вспомогательный!P88+Вспомогательный!P96+Вспомогательный!P101</f>
        <v>32266.666666666668</v>
      </c>
      <c r="AC30" s="165">
        <f t="shared" si="15"/>
        <v>242599.99999999997</v>
      </c>
      <c r="AD30" s="165">
        <f>Вспомогательный!S59+Вспомогательный!S88+Вспомогательный!S96+Вспомогательный!S101</f>
        <v>14600</v>
      </c>
      <c r="AE30" s="165">
        <f>Вспомогательный!T59+Вспомогательный!T88+Вспомогательный!T96+Вспомогательный!T101</f>
        <v>5600</v>
      </c>
      <c r="AF30" s="165">
        <f>Вспомогательный!U59+Вспомогательный!U88+Вспомогательный!U96+Вспомогательный!U101</f>
        <v>5600</v>
      </c>
      <c r="AG30" s="165">
        <f>Вспомогательный!V59+Вспомогательный!V88+Вспомогательный!V96+Вспомогательный!V101</f>
        <v>20000</v>
      </c>
      <c r="AH30" s="165">
        <f>Вспомогательный!W59+Вспомогательный!W88+Вспомогательный!W96+Вспомогательный!W101</f>
        <v>20000</v>
      </c>
      <c r="AI30" s="165">
        <f>Вспомогательный!X59+Вспомогательный!X88+Вспомогательный!X96+Вспомогательный!X101</f>
        <v>20000</v>
      </c>
      <c r="AJ30" s="165">
        <f>Вспомогательный!Y59+Вспомогательный!Y88+Вспомогательный!Y96+Вспомогательный!Y101</f>
        <v>20000</v>
      </c>
      <c r="AK30" s="165">
        <f>Вспомогательный!Z59+Вспомогательный!Z88+Вспомогательный!Z96+Вспомогательный!Z101</f>
        <v>20000</v>
      </c>
      <c r="AL30" s="165">
        <f>Вспомогательный!AA59+Вспомогательный!AA88+Вспомогательный!AA96+Вспомогательный!AA101</f>
        <v>20000</v>
      </c>
      <c r="AM30" s="165">
        <f>Вспомогательный!AB59+Вспомогательный!AB88+Вспомогательный!AB96+Вспомогательный!AB101</f>
        <v>32266.666666666668</v>
      </c>
      <c r="AN30" s="165">
        <f>Вспомогательный!AC59+Вспомогательный!AC88+Вспомогательный!AC96+Вспомогательный!AC101</f>
        <v>32266.666666666668</v>
      </c>
      <c r="AO30" s="165">
        <f>Вспомогательный!AD59+Вспомогательный!AD88+Вспомогательный!AD96+Вспомогательный!AD101</f>
        <v>32266.666666666668</v>
      </c>
      <c r="AP30" s="165">
        <f t="shared" si="17"/>
        <v>242599.99999999997</v>
      </c>
      <c r="AQ30" s="165">
        <f>Вспомогательный!AF59+Вспомогательный!AF88+Вспомогательный!AF96+Вспомогательный!AF101</f>
        <v>14600</v>
      </c>
      <c r="AR30" s="165">
        <f>Вспомогательный!AG59+Вспомогательный!AG88+Вспомогательный!AG96+Вспомогательный!AG101</f>
        <v>5600</v>
      </c>
      <c r="AS30" s="165">
        <f>Вспомогательный!AH59+Вспомогательный!AH88+Вспомогательный!AH96+Вспомогательный!AH101</f>
        <v>5600</v>
      </c>
      <c r="AT30" s="165">
        <f>Вспомогательный!AI59+Вспомогательный!AI88+Вспомогательный!AI96+Вспомогательный!AI101</f>
        <v>20000</v>
      </c>
      <c r="AU30" s="165">
        <f>Вспомогательный!AJ59+Вспомогательный!AJ88+Вспомогательный!AJ96+Вспомогательный!AJ101</f>
        <v>20000</v>
      </c>
      <c r="AV30" s="165">
        <f>Вспомогательный!AK59+Вспомогательный!AK88+Вспомогательный!AK96+Вспомогательный!AK101</f>
        <v>20000</v>
      </c>
      <c r="AW30" s="165">
        <f>Вспомогательный!AL59+Вспомогательный!AL88+Вспомогательный!AL96+Вспомогательный!AL101</f>
        <v>20000</v>
      </c>
      <c r="AX30" s="165">
        <f>Вспомогательный!AM59+Вспомогательный!AM88+Вспомогательный!AM96+Вспомогательный!AM101</f>
        <v>20000</v>
      </c>
      <c r="AY30" s="165">
        <f>Вспомогательный!AN59+Вспомогательный!AN88+Вспомогательный!AN96+Вспомогательный!AN101</f>
        <v>20000</v>
      </c>
      <c r="AZ30" s="165">
        <f>Вспомогательный!AO59+Вспомогательный!AO88+Вспомогательный!AO96+Вспомогательный!AO101</f>
        <v>32266.666666666668</v>
      </c>
      <c r="BA30" s="165">
        <f>Вспомогательный!AP59+Вспомогательный!AP88+Вспомогательный!AP96+Вспомогательный!AP101</f>
        <v>32266.666666666668</v>
      </c>
      <c r="BB30" s="165">
        <f>Вспомогательный!AQ59+Вспомогательный!AQ88+Вспомогательный!AQ96+Вспомогательный!AQ101</f>
        <v>32266.666666666668</v>
      </c>
      <c r="BC30" s="165">
        <f t="shared" si="19"/>
        <v>242599.99999999997</v>
      </c>
      <c r="BD30" s="165">
        <f t="shared" si="20"/>
        <v>727799.99999999988</v>
      </c>
      <c r="CN30" s="213"/>
      <c r="CO30" s="213"/>
      <c r="CP30" s="213"/>
      <c r="CQ30" s="213"/>
      <c r="CR30" s="213"/>
      <c r="CS30" s="213"/>
      <c r="CT30" s="213"/>
      <c r="CU30" s="213"/>
      <c r="CV30" s="213"/>
      <c r="CW30" s="213"/>
      <c r="CX30" s="213"/>
      <c r="CY30" s="213"/>
      <c r="CZ30" s="213"/>
      <c r="DA30" s="213"/>
    </row>
    <row r="31" spans="2:105" s="162" customFormat="1" ht="12" x14ac:dyDescent="0.2">
      <c r="B31" s="163" t="s">
        <v>228</v>
      </c>
      <c r="C31" s="164">
        <f>INDEX(Вспомогательный!E57:Q57,1,Результат!$CR$5+1)</f>
        <v>30000</v>
      </c>
      <c r="D31" s="164">
        <f>SUM(Q31:AB31)</f>
        <v>30000</v>
      </c>
      <c r="E31" s="164">
        <f>SUM(AD31:AO31)</f>
        <v>30000</v>
      </c>
      <c r="F31" s="164">
        <f>SUM(AQ31:BB31)</f>
        <v>30000</v>
      </c>
      <c r="G31" s="164">
        <f t="shared" si="13"/>
        <v>120000</v>
      </c>
      <c r="H31" s="147">
        <f t="shared" si="7"/>
        <v>0</v>
      </c>
      <c r="I31" s="138">
        <f t="shared" si="8"/>
        <v>0</v>
      </c>
      <c r="J31" s="147">
        <f t="shared" si="9"/>
        <v>0</v>
      </c>
      <c r="K31" s="138">
        <f t="shared" si="10"/>
        <v>0</v>
      </c>
      <c r="P31" s="165">
        <f t="shared" si="11"/>
        <v>30000</v>
      </c>
      <c r="Q31" s="165">
        <f>IF(COLUMN()-16&lt;&gt;$CR$5,Вспомогательный!F57,0)</f>
        <v>0</v>
      </c>
      <c r="R31" s="165">
        <f>IF(COLUMN()-16&lt;&gt;$CR$5,Вспомогательный!G57,0)</f>
        <v>0</v>
      </c>
      <c r="S31" s="165">
        <f>IF(COLUMN()-16&lt;&gt;$CR$5,Вспомогательный!H57,0)</f>
        <v>0</v>
      </c>
      <c r="T31" s="165">
        <f>IF(COLUMN()-16&lt;&gt;$CR$5,Вспомогательный!I57,0)</f>
        <v>0</v>
      </c>
      <c r="U31" s="165">
        <f>IF(COLUMN()-16&lt;&gt;$CR$5,Вспомогательный!J57,0)</f>
        <v>30000</v>
      </c>
      <c r="V31" s="165">
        <f>IF(COLUMN()-16&lt;&gt;$CR$5,Вспомогательный!K57,0)</f>
        <v>0</v>
      </c>
      <c r="W31" s="165">
        <f>IF(COLUMN()-16&lt;&gt;$CR$5,Вспомогательный!L57,0)</f>
        <v>0</v>
      </c>
      <c r="X31" s="165">
        <f>IF(COLUMN()-16&lt;&gt;$CR$5,Вспомогательный!M57,0)</f>
        <v>0</v>
      </c>
      <c r="Y31" s="165">
        <f>IF(COLUMN()-16&lt;&gt;$CR$5,Вспомогательный!N57,0)</f>
        <v>0</v>
      </c>
      <c r="Z31" s="165">
        <f>IF(COLUMN()-16&lt;&gt;$CR$5,Вспомогательный!O57,0)</f>
        <v>0</v>
      </c>
      <c r="AA31" s="165">
        <f>IF(COLUMN()-16&lt;&gt;$CR$5,Вспомогательный!P57,0)</f>
        <v>0</v>
      </c>
      <c r="AB31" s="165">
        <f>IF(COLUMN()-16&lt;&gt;$CR$5,Вспомогательный!Q57,0)</f>
        <v>0</v>
      </c>
      <c r="AC31" s="164">
        <f t="shared" si="15"/>
        <v>30000</v>
      </c>
      <c r="AD31" s="165">
        <f>IF(COLUMN()-16&lt;&gt;$CR$5,Вспомогательный!S57,0)</f>
        <v>0</v>
      </c>
      <c r="AE31" s="165">
        <f>IF(COLUMN()-16&lt;&gt;$CR$5,Вспомогательный!T57,0)</f>
        <v>0</v>
      </c>
      <c r="AF31" s="165">
        <f>IF(COLUMN()-16&lt;&gt;$CR$5,Вспомогательный!U57,0)</f>
        <v>0</v>
      </c>
      <c r="AG31" s="165">
        <f>IF(COLUMN()-16&lt;&gt;$CR$5,Вспомогательный!V57,0)</f>
        <v>0</v>
      </c>
      <c r="AH31" s="165">
        <f>IF(COLUMN()-16&lt;&gt;$CR$5,Вспомогательный!W57,0)</f>
        <v>30000</v>
      </c>
      <c r="AI31" s="165">
        <f>IF(COLUMN()-16&lt;&gt;$CR$5,Вспомогательный!X57,0)</f>
        <v>0</v>
      </c>
      <c r="AJ31" s="165">
        <f>IF(COLUMN()-16&lt;&gt;$CR$5,Вспомогательный!Y57,0)</f>
        <v>0</v>
      </c>
      <c r="AK31" s="165">
        <f>IF(COLUMN()-16&lt;&gt;$CR$5,Вспомогательный!Z57,0)</f>
        <v>0</v>
      </c>
      <c r="AL31" s="165">
        <f>IF(COLUMN()-16&lt;&gt;$CR$5,Вспомогательный!AA57,0)</f>
        <v>0</v>
      </c>
      <c r="AM31" s="165">
        <f>IF(COLUMN()-16&lt;&gt;$CR$5,Вспомогательный!AB57,0)</f>
        <v>0</v>
      </c>
      <c r="AN31" s="165">
        <f>IF(COLUMN()-16&lt;&gt;$CR$5,Вспомогательный!AC57,0)</f>
        <v>0</v>
      </c>
      <c r="AO31" s="165">
        <f>IF(COLUMN()-16&lt;&gt;$CR$5,Вспомогательный!AD57,0)</f>
        <v>0</v>
      </c>
      <c r="AP31" s="164">
        <f t="shared" si="17"/>
        <v>30000</v>
      </c>
      <c r="AQ31" s="165">
        <f>IF(COLUMN()-16&lt;&gt;$CR$5,Вспомогательный!AF57,0)</f>
        <v>0</v>
      </c>
      <c r="AR31" s="165">
        <f>IF(COLUMN()-16&lt;&gt;$CR$5,Вспомогательный!AG57,0)</f>
        <v>0</v>
      </c>
      <c r="AS31" s="165">
        <f>IF(COLUMN()-16&lt;&gt;$CR$5,Вспомогательный!AH57,0)</f>
        <v>0</v>
      </c>
      <c r="AT31" s="165">
        <f>IF(COLUMN()-16&lt;&gt;$CR$5,Вспомогательный!AI57,0)</f>
        <v>0</v>
      </c>
      <c r="AU31" s="165">
        <f>IF(COLUMN()-16&lt;&gt;$CR$5,Вспомогательный!AJ57,0)</f>
        <v>30000</v>
      </c>
      <c r="AV31" s="165">
        <f>IF(COLUMN()-16&lt;&gt;$CR$5,Вспомогательный!AK57,0)</f>
        <v>0</v>
      </c>
      <c r="AW31" s="165">
        <f>IF(COLUMN()-16&lt;&gt;$CR$5,Вспомогательный!AL57,0)</f>
        <v>0</v>
      </c>
      <c r="AX31" s="165">
        <f>IF(COLUMN()-16&lt;&gt;$CR$5,Вспомогательный!AM57,0)</f>
        <v>0</v>
      </c>
      <c r="AY31" s="165">
        <f>IF(COLUMN()-16&lt;&gt;$CR$5,Вспомогательный!AN57,0)</f>
        <v>0</v>
      </c>
      <c r="AZ31" s="165">
        <f>IF(COLUMN()-16&lt;&gt;$CR$5,Вспомогательный!AO57,0)</f>
        <v>0</v>
      </c>
      <c r="BA31" s="165">
        <f>IF(COLUMN()-16&lt;&gt;$CR$5,Вспомогательный!AP57,0)</f>
        <v>0</v>
      </c>
      <c r="BB31" s="165">
        <f>IF(COLUMN()-16&lt;&gt;$CR$5,Вспомогательный!AQ57,0)</f>
        <v>0</v>
      </c>
      <c r="BC31" s="164">
        <f t="shared" si="19"/>
        <v>30000</v>
      </c>
      <c r="BD31" s="164">
        <f t="shared" si="20"/>
        <v>120000</v>
      </c>
      <c r="CN31" s="213"/>
      <c r="CO31" s="213"/>
      <c r="CP31" s="213"/>
      <c r="CQ31" s="213"/>
      <c r="CR31" s="213"/>
      <c r="CS31" s="213"/>
      <c r="CT31" s="213"/>
      <c r="CU31" s="213"/>
      <c r="CV31" s="213"/>
      <c r="CW31" s="213"/>
      <c r="CX31" s="213"/>
      <c r="CY31" s="213"/>
      <c r="CZ31" s="213"/>
      <c r="DA31" s="213"/>
    </row>
    <row r="32" spans="2:105" s="162" customFormat="1" ht="7.5" customHeight="1" x14ac:dyDescent="0.2">
      <c r="B32" s="163"/>
      <c r="C32" s="164"/>
      <c r="D32" s="164"/>
      <c r="E32" s="164"/>
      <c r="F32" s="164"/>
      <c r="G32" s="164"/>
      <c r="H32" s="147"/>
      <c r="I32" s="138"/>
      <c r="J32" s="147"/>
      <c r="K32" s="138"/>
      <c r="P32" s="165"/>
      <c r="Q32" s="165"/>
      <c r="R32" s="165"/>
      <c r="S32" s="165"/>
      <c r="T32" s="165"/>
      <c r="U32" s="165"/>
      <c r="V32" s="165"/>
      <c r="W32" s="165"/>
      <c r="X32" s="165"/>
      <c r="Y32" s="165"/>
      <c r="Z32" s="165"/>
      <c r="AA32" s="165"/>
      <c r="AB32" s="165"/>
      <c r="AC32" s="164"/>
      <c r="AD32" s="165"/>
      <c r="AE32" s="165"/>
      <c r="AF32" s="165"/>
      <c r="AG32" s="165"/>
      <c r="AH32" s="165"/>
      <c r="AI32" s="165"/>
      <c r="AJ32" s="165"/>
      <c r="AK32" s="165"/>
      <c r="AL32" s="165"/>
      <c r="AM32" s="165"/>
      <c r="AN32" s="165"/>
      <c r="AO32" s="165"/>
      <c r="AP32" s="164"/>
      <c r="AQ32" s="165"/>
      <c r="AR32" s="165"/>
      <c r="AS32" s="165"/>
      <c r="AT32" s="165"/>
      <c r="AU32" s="165"/>
      <c r="AV32" s="165"/>
      <c r="AW32" s="165"/>
      <c r="AX32" s="165"/>
      <c r="AY32" s="165"/>
      <c r="AZ32" s="165"/>
      <c r="BA32" s="165"/>
      <c r="BB32" s="165"/>
      <c r="BC32" s="164"/>
      <c r="BD32" s="164"/>
      <c r="CN32" s="213"/>
      <c r="CO32" s="213"/>
      <c r="CP32" s="213"/>
      <c r="CQ32" s="213"/>
      <c r="CR32" s="213"/>
      <c r="CS32" s="213"/>
      <c r="CT32" s="213"/>
      <c r="CU32" s="213"/>
      <c r="CV32" s="213"/>
      <c r="CW32" s="213"/>
      <c r="CX32" s="213"/>
      <c r="CY32" s="213"/>
      <c r="CZ32" s="213"/>
      <c r="DA32" s="213"/>
    </row>
    <row r="33" spans="1:105" s="129" customFormat="1" ht="30" x14ac:dyDescent="0.25">
      <c r="A33" s="153"/>
      <c r="B33" s="177" t="s">
        <v>298</v>
      </c>
      <c r="C33" s="155">
        <f ca="1">C8-C15</f>
        <v>-155000</v>
      </c>
      <c r="D33" s="155">
        <f ca="1">D8-D15</f>
        <v>4151315.66</v>
      </c>
      <c r="E33" s="155">
        <f ca="1">E8-E15</f>
        <v>5518547.5999999996</v>
      </c>
      <c r="F33" s="155">
        <f>F8-F15</f>
        <v>6713972.3300000001</v>
      </c>
      <c r="G33" s="155">
        <f ca="1">G8-G15</f>
        <v>16228835.59</v>
      </c>
      <c r="H33" s="156">
        <f ca="1">E33-D33</f>
        <v>1367231.9399999995</v>
      </c>
      <c r="I33" s="157">
        <f ca="1">IF(D33&lt;&gt;0,E33/D33-1,0)</f>
        <v>0.32934906713405643</v>
      </c>
      <c r="J33" s="156">
        <f ca="1">F33-E33</f>
        <v>1195424.7300000004</v>
      </c>
      <c r="K33" s="157">
        <f ca="1">IF(E33&lt;&gt;0,F33/E33-1,0)</f>
        <v>0.21661944711684655</v>
      </c>
      <c r="L33" s="153"/>
      <c r="M33" s="153"/>
      <c r="N33" s="153"/>
      <c r="O33" s="153"/>
      <c r="P33" s="155">
        <f ca="1">C33</f>
        <v>-155000</v>
      </c>
      <c r="Q33" s="155">
        <f t="shared" ref="Q33:AB33" ca="1" si="31">Q8-Q16-Q19-Q25-Q26-Q27-Q39-Q31</f>
        <v>120042.71249999994</v>
      </c>
      <c r="R33" s="155">
        <f t="shared" ca="1" si="31"/>
        <v>332035.875</v>
      </c>
      <c r="S33" s="155">
        <f t="shared" ca="1" si="31"/>
        <v>395700.26250000001</v>
      </c>
      <c r="T33" s="155">
        <f t="shared" ca="1" si="31"/>
        <v>569846.21749999991</v>
      </c>
      <c r="U33" s="155">
        <f t="shared" ca="1" si="31"/>
        <v>485267.27000000008</v>
      </c>
      <c r="V33" s="155">
        <f t="shared" ca="1" si="31"/>
        <v>569462.51749999996</v>
      </c>
      <c r="W33" s="155">
        <f t="shared" ca="1" si="31"/>
        <v>569462.51749999996</v>
      </c>
      <c r="X33" s="155">
        <f t="shared" ca="1" si="31"/>
        <v>569462.51749999996</v>
      </c>
      <c r="Y33" s="155">
        <f t="shared" ca="1" si="31"/>
        <v>518267.27000000008</v>
      </c>
      <c r="Z33" s="155">
        <f t="shared" ca="1" si="31"/>
        <v>9616.6666666666497</v>
      </c>
      <c r="AA33" s="155">
        <f t="shared" ca="1" si="31"/>
        <v>9616.6666666666497</v>
      </c>
      <c r="AB33" s="155">
        <f t="shared" si="31"/>
        <v>-14383.33333333335</v>
      </c>
      <c r="AC33" s="155">
        <f ca="1">D33</f>
        <v>4151315.66</v>
      </c>
      <c r="AD33" s="155">
        <f t="shared" ref="AD33:AO33" si="32">AD8-AD16-AD19-AD25-AD26-AD27-AD39-AD31</f>
        <v>536843.97</v>
      </c>
      <c r="AE33" s="155">
        <f t="shared" si="32"/>
        <v>621508.35749999993</v>
      </c>
      <c r="AF33" s="155">
        <f t="shared" si="32"/>
        <v>621196.35749999993</v>
      </c>
      <c r="AG33" s="155">
        <f t="shared" si="32"/>
        <v>645384.35749999993</v>
      </c>
      <c r="AH33" s="155">
        <f t="shared" si="32"/>
        <v>538987.09250000014</v>
      </c>
      <c r="AI33" s="155">
        <f t="shared" si="32"/>
        <v>648384.35749999993</v>
      </c>
      <c r="AJ33" s="155">
        <f t="shared" si="32"/>
        <v>648384.35749999993</v>
      </c>
      <c r="AK33" s="155">
        <f t="shared" si="32"/>
        <v>648384.35749999993</v>
      </c>
      <c r="AL33" s="155">
        <f t="shared" si="32"/>
        <v>571987.09250000014</v>
      </c>
      <c r="AM33" s="155">
        <f t="shared" ca="1" si="32"/>
        <v>9616.6666666666497</v>
      </c>
      <c r="AN33" s="155">
        <f t="shared" ca="1" si="32"/>
        <v>9616.6666666666497</v>
      </c>
      <c r="AO33" s="155">
        <f t="shared" si="32"/>
        <v>-14383.33333333335</v>
      </c>
      <c r="AP33" s="155">
        <f ca="1">E33</f>
        <v>5518547.5999999996</v>
      </c>
      <c r="AQ33" s="155">
        <f t="shared" ref="AQ33:BB33" si="33">AQ8-AQ16-AQ19-AQ25-AQ26-AQ27-AQ39-AQ31</f>
        <v>638394.99000000022</v>
      </c>
      <c r="AR33" s="155">
        <f t="shared" si="33"/>
        <v>735792.255</v>
      </c>
      <c r="AS33" s="155">
        <f t="shared" si="33"/>
        <v>760976.01</v>
      </c>
      <c r="AT33" s="155">
        <f t="shared" si="33"/>
        <v>785164.01</v>
      </c>
      <c r="AU33" s="155">
        <f t="shared" si="33"/>
        <v>666033.86750000017</v>
      </c>
      <c r="AV33" s="155">
        <f t="shared" si="33"/>
        <v>788164.01</v>
      </c>
      <c r="AW33" s="155">
        <f t="shared" si="33"/>
        <v>788164.01</v>
      </c>
      <c r="AX33" s="155">
        <f t="shared" si="33"/>
        <v>788164.01</v>
      </c>
      <c r="AY33" s="155">
        <f t="shared" si="33"/>
        <v>699033.86750000017</v>
      </c>
      <c r="AZ33" s="155">
        <f t="shared" si="33"/>
        <v>9616.6666666666497</v>
      </c>
      <c r="BA33" s="155">
        <f t="shared" si="33"/>
        <v>9616.6666666666497</v>
      </c>
      <c r="BB33" s="155">
        <f t="shared" si="33"/>
        <v>9616.6666666666497</v>
      </c>
      <c r="BC33" s="155">
        <f>F33</f>
        <v>6713972.3300000001</v>
      </c>
      <c r="BD33" s="155">
        <f ca="1">G33</f>
        <v>16228835.59</v>
      </c>
      <c r="CN33" s="190"/>
      <c r="CO33" s="190"/>
      <c r="CP33" s="190"/>
      <c r="CQ33" s="190"/>
      <c r="CR33" s="190"/>
      <c r="CS33" s="190"/>
      <c r="CT33" s="190"/>
      <c r="CU33" s="190"/>
      <c r="CV33" s="190"/>
      <c r="CW33" s="190"/>
      <c r="CX33" s="190"/>
      <c r="CY33" s="190"/>
      <c r="CZ33" s="190"/>
      <c r="DA33" s="190"/>
    </row>
    <row r="34" spans="1:105" s="178" customFormat="1" ht="7.5" customHeight="1" x14ac:dyDescent="0.25">
      <c r="B34" s="179"/>
      <c r="C34" s="136"/>
      <c r="D34" s="136"/>
      <c r="E34" s="136"/>
      <c r="F34" s="136"/>
      <c r="G34" s="136"/>
      <c r="H34" s="180"/>
      <c r="I34" s="181"/>
      <c r="J34" s="180"/>
      <c r="K34" s="181"/>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CN34" s="190"/>
      <c r="CO34" s="190"/>
      <c r="CP34" s="190"/>
      <c r="CQ34" s="190"/>
      <c r="CR34" s="190"/>
      <c r="CS34" s="190"/>
      <c r="CT34" s="190"/>
      <c r="CU34" s="190"/>
      <c r="CV34" s="190"/>
      <c r="CW34" s="190"/>
      <c r="CX34" s="190"/>
      <c r="CY34" s="190"/>
      <c r="CZ34" s="190"/>
      <c r="DA34" s="190"/>
    </row>
    <row r="35" spans="1:105" s="167" customFormat="1" ht="12.75" x14ac:dyDescent="0.2">
      <c r="B35" s="168" t="s">
        <v>296</v>
      </c>
      <c r="C35" s="169">
        <f>C36+C37</f>
        <v>676740</v>
      </c>
      <c r="D35" s="169">
        <f t="shared" ref="D35:G35" si="34">D36+D37</f>
        <v>91318.5</v>
      </c>
      <c r="E35" s="169">
        <f t="shared" si="34"/>
        <v>93037.3</v>
      </c>
      <c r="F35" s="169">
        <f t="shared" si="34"/>
        <v>39235.300000000003</v>
      </c>
      <c r="G35" s="169">
        <f t="shared" si="34"/>
        <v>900331.10000000009</v>
      </c>
      <c r="H35" s="170">
        <f>E35-D35</f>
        <v>1718.8000000000029</v>
      </c>
      <c r="I35" s="171">
        <f>IF(D35&lt;&gt;0,E35/D35-1,0)</f>
        <v>1.8822034965532808E-2</v>
      </c>
      <c r="J35" s="170">
        <f>F35-E35</f>
        <v>-53802</v>
      </c>
      <c r="K35" s="171">
        <f>IF(E35&lt;&gt;0,F35/E35-1,0)</f>
        <v>-0.57828419354387972</v>
      </c>
      <c r="L35" s="142"/>
      <c r="M35" s="142"/>
      <c r="N35" s="142"/>
      <c r="O35" s="142"/>
      <c r="P35" s="172">
        <f>C35</f>
        <v>676740</v>
      </c>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CN35" s="209"/>
      <c r="CO35" s="209"/>
      <c r="CP35" s="209"/>
      <c r="CQ35" s="209"/>
      <c r="CR35" s="209"/>
      <c r="CS35" s="209"/>
      <c r="CT35" s="209"/>
      <c r="CU35" s="209"/>
      <c r="CV35" s="209"/>
      <c r="CW35" s="209"/>
      <c r="CX35" s="209"/>
      <c r="CY35" s="209"/>
      <c r="CZ35" s="209"/>
      <c r="DA35" s="209"/>
    </row>
    <row r="36" spans="1:105" s="158" customFormat="1" ht="12" x14ac:dyDescent="0.2">
      <c r="B36" s="176" t="s">
        <v>217</v>
      </c>
      <c r="C36" s="161">
        <f>INDEX(Вспомогательный!E50:Q50,1,Результат!$CR$5+1)</f>
        <v>0</v>
      </c>
      <c r="D36" s="161">
        <f>SUM(Q36:AB36)</f>
        <v>0</v>
      </c>
      <c r="E36" s="161">
        <f>SUM(AD36:AO36)</f>
        <v>0</v>
      </c>
      <c r="F36" s="161">
        <f>SUM(AQ36:BB36)</f>
        <v>0</v>
      </c>
      <c r="G36" s="161">
        <f>C36+D36+E36+F36</f>
        <v>0</v>
      </c>
      <c r="H36" s="148">
        <f>E36-D36</f>
        <v>0</v>
      </c>
      <c r="I36" s="139">
        <f>IF(D36&lt;&gt;0,E36/D36-1,0)</f>
        <v>0</v>
      </c>
      <c r="J36" s="148">
        <f>F36-E36</f>
        <v>0</v>
      </c>
      <c r="K36" s="139">
        <f>IF(E36&lt;&gt;0,F36/E36-1,0)</f>
        <v>0</v>
      </c>
      <c r="P36" s="160">
        <f>C36</f>
        <v>0</v>
      </c>
      <c r="Q36" s="160">
        <f>IF(COLUMN()-16&lt;&gt;$CR$5,Вспомогательный!F50,0)+Вспомогательный!F51</f>
        <v>0</v>
      </c>
      <c r="R36" s="160">
        <f>IF(COLUMN()-16&lt;&gt;$CR$5,Вспомогательный!G50,0)+Вспомогательный!G51</f>
        <v>0</v>
      </c>
      <c r="S36" s="160">
        <f>IF(COLUMN()-16&lt;&gt;$CR$5,Вспомогательный!H50,0)+Вспомогательный!H51</f>
        <v>0</v>
      </c>
      <c r="T36" s="160">
        <f>IF(COLUMN()-16&lt;&gt;$CR$5,Вспомогательный!I50,0)+Вспомогательный!I51</f>
        <v>0</v>
      </c>
      <c r="U36" s="160">
        <f>IF(COLUMN()-16&lt;&gt;$CR$5,Вспомогательный!J50,0)+Вспомогательный!J51</f>
        <v>0</v>
      </c>
      <c r="V36" s="160">
        <f>IF(COLUMN()-16&lt;&gt;$CR$5,Вспомогательный!K50,0)+Вспомогательный!K51</f>
        <v>0</v>
      </c>
      <c r="W36" s="160">
        <f>IF(COLUMN()-16&lt;&gt;$CR$5,Вспомогательный!L50,0)+Вспомогательный!L51</f>
        <v>0</v>
      </c>
      <c r="X36" s="160">
        <f>IF(COLUMN()-16&lt;&gt;$CR$5,Вспомогательный!M50,0)+Вспомогательный!M51</f>
        <v>0</v>
      </c>
      <c r="Y36" s="160">
        <f>IF(COLUMN()-16&lt;&gt;$CR$5,Вспомогательный!N50,0)+Вспомогательный!N51</f>
        <v>0</v>
      </c>
      <c r="Z36" s="160">
        <f>IF(COLUMN()-16&lt;&gt;$CR$5,Вспомогательный!O50,0)+Вспомогательный!O51</f>
        <v>0</v>
      </c>
      <c r="AA36" s="160">
        <f>IF(COLUMN()-16&lt;&gt;$CR$5,Вспомогательный!P50,0)+Вспомогательный!P51</f>
        <v>0</v>
      </c>
      <c r="AB36" s="160">
        <f>IF(COLUMN()-16&lt;&gt;$CR$5,Вспомогательный!Q50,0)+Вспомогательный!Q51</f>
        <v>0</v>
      </c>
      <c r="AC36" s="161">
        <f>D36</f>
        <v>0</v>
      </c>
      <c r="AD36" s="160">
        <f>IF(COLUMN()-16&lt;&gt;$CR$5,Вспомогательный!S50,0)+Вспомогательный!S51</f>
        <v>0</v>
      </c>
      <c r="AE36" s="160">
        <f>IF(COLUMN()-16&lt;&gt;$CR$5,Вспомогательный!T50,0)+Вспомогательный!T51</f>
        <v>0</v>
      </c>
      <c r="AF36" s="160">
        <f>IF(COLUMN()-16&lt;&gt;$CR$5,Вспомогательный!U50,0)+Вспомогательный!U51</f>
        <v>0</v>
      </c>
      <c r="AG36" s="160">
        <f>IF(COLUMN()-16&lt;&gt;$CR$5,Вспомогательный!V50,0)+Вспомогательный!V51</f>
        <v>0</v>
      </c>
      <c r="AH36" s="160">
        <f>IF(COLUMN()-16&lt;&gt;$CR$5,Вспомогательный!W50,0)+Вспомогательный!W51</f>
        <v>0</v>
      </c>
      <c r="AI36" s="160">
        <f>IF(COLUMN()-16&lt;&gt;$CR$5,Вспомогательный!X50,0)+Вспомогательный!X51</f>
        <v>0</v>
      </c>
      <c r="AJ36" s="160">
        <f>IF(COLUMN()-16&lt;&gt;$CR$5,Вспомогательный!Y50,0)+Вспомогательный!Y51</f>
        <v>0</v>
      </c>
      <c r="AK36" s="160">
        <f>IF(COLUMN()-16&lt;&gt;$CR$5,Вспомогательный!Z50,0)+Вспомогательный!Z51</f>
        <v>0</v>
      </c>
      <c r="AL36" s="160">
        <f>IF(COLUMN()-16&lt;&gt;$CR$5,Вспомогательный!AA50,0)+Вспомогательный!AA51</f>
        <v>0</v>
      </c>
      <c r="AM36" s="160">
        <f>IF(COLUMN()-16&lt;&gt;$CR$5,Вспомогательный!AB50,0)+Вспомогательный!AB51</f>
        <v>0</v>
      </c>
      <c r="AN36" s="160">
        <f>IF(COLUMN()-16&lt;&gt;$CR$5,Вспомогательный!AC50,0)+Вспомогательный!AC51</f>
        <v>0</v>
      </c>
      <c r="AO36" s="160">
        <f>IF(COLUMN()-16&lt;&gt;$CR$5,Вспомогательный!AD50,0)+Вспомогательный!AD51</f>
        <v>0</v>
      </c>
      <c r="AP36" s="161">
        <f>E36</f>
        <v>0</v>
      </c>
      <c r="AQ36" s="160">
        <f>IF(COLUMN()-16&lt;&gt;$CR$5,Вспомогательный!AF50,0)+Вспомогательный!AF51</f>
        <v>0</v>
      </c>
      <c r="AR36" s="160">
        <f>IF(COLUMN()-16&lt;&gt;$CR$5,Вспомогательный!AG50,0)+Вспомогательный!AG51</f>
        <v>0</v>
      </c>
      <c r="AS36" s="160">
        <f>IF(COLUMN()-16&lt;&gt;$CR$5,Вспомогательный!AH50,0)+Вспомогательный!AH51</f>
        <v>0</v>
      </c>
      <c r="AT36" s="160">
        <f>IF(COLUMN()-16&lt;&gt;$CR$5,Вспомогательный!AI50,0)+Вспомогательный!AI51</f>
        <v>0</v>
      </c>
      <c r="AU36" s="160">
        <f>IF(COLUMN()-16&lt;&gt;$CR$5,Вспомогательный!AJ50,0)+Вспомогательный!AJ51</f>
        <v>0</v>
      </c>
      <c r="AV36" s="160">
        <f>IF(COLUMN()-16&lt;&gt;$CR$5,Вспомогательный!AK50,0)+Вспомогательный!AK51</f>
        <v>0</v>
      </c>
      <c r="AW36" s="160">
        <f>IF(COLUMN()-16&lt;&gt;$CR$5,Вспомогательный!AL50,0)+Вспомогательный!AL51</f>
        <v>0</v>
      </c>
      <c r="AX36" s="160">
        <f>IF(COLUMN()-16&lt;&gt;$CR$5,Вспомогательный!AM50,0)+Вспомогательный!AM51</f>
        <v>0</v>
      </c>
      <c r="AY36" s="160">
        <f>IF(COLUMN()-16&lt;&gt;$CR$5,Вспомогательный!AN50,0)+Вспомогательный!AN51</f>
        <v>0</v>
      </c>
      <c r="AZ36" s="160">
        <f>IF(COLUMN()-16&lt;&gt;$CR$5,Вспомогательный!AO50,0)+Вспомогательный!AO51</f>
        <v>0</v>
      </c>
      <c r="BA36" s="160">
        <f>IF(COLUMN()-16&lt;&gt;$CR$5,Вспомогательный!AP50,0)+Вспомогательный!AP51</f>
        <v>0</v>
      </c>
      <c r="BB36" s="160">
        <f>IF(COLUMN()-16&lt;&gt;$CR$5,Вспомогательный!AQ50,0)+Вспомогательный!AQ51</f>
        <v>0</v>
      </c>
      <c r="BC36" s="161">
        <f t="shared" ref="BC36:BD39" si="35">F36</f>
        <v>0</v>
      </c>
      <c r="BD36" s="161">
        <f t="shared" si="35"/>
        <v>0</v>
      </c>
      <c r="CN36" s="213"/>
      <c r="CO36" s="213"/>
      <c r="CP36" s="213"/>
      <c r="CQ36" s="213"/>
      <c r="CR36" s="213"/>
      <c r="CS36" s="213"/>
      <c r="CT36" s="213"/>
      <c r="CU36" s="213"/>
      <c r="CV36" s="213"/>
      <c r="CW36" s="213"/>
      <c r="CX36" s="213"/>
      <c r="CY36" s="213"/>
      <c r="CZ36" s="213"/>
      <c r="DA36" s="213"/>
    </row>
    <row r="37" spans="1:105" s="162" customFormat="1" ht="12" x14ac:dyDescent="0.2">
      <c r="B37" s="163" t="s">
        <v>300</v>
      </c>
      <c r="C37" s="164">
        <f t="shared" ref="C37:E37" si="36">SUM(C38:C39)</f>
        <v>676740</v>
      </c>
      <c r="D37" s="164">
        <f t="shared" si="36"/>
        <v>91318.5</v>
      </c>
      <c r="E37" s="164">
        <f t="shared" si="36"/>
        <v>93037.3</v>
      </c>
      <c r="F37" s="164">
        <f>SUM(F38:F39)</f>
        <v>39235.300000000003</v>
      </c>
      <c r="G37" s="164">
        <f>C37+D37+E37+F37</f>
        <v>900331.10000000009</v>
      </c>
      <c r="H37" s="147">
        <f>E37-D37</f>
        <v>1718.8000000000029</v>
      </c>
      <c r="I37" s="138">
        <f>IF(D37&lt;&gt;0,E37/D37-1,0)</f>
        <v>1.8822034965532808E-2</v>
      </c>
      <c r="J37" s="147">
        <f>F37-E37</f>
        <v>-53802</v>
      </c>
      <c r="K37" s="138">
        <f>IF(E37&lt;&gt;0,F37/E37-1,0)</f>
        <v>-0.57828419354387972</v>
      </c>
      <c r="P37" s="165">
        <f>C37</f>
        <v>676740</v>
      </c>
      <c r="Q37" s="164">
        <f t="shared" ref="Q37:AB37" si="37">SUM(Q38:Q39)</f>
        <v>0</v>
      </c>
      <c r="R37" s="164">
        <f t="shared" si="37"/>
        <v>0</v>
      </c>
      <c r="S37" s="164">
        <f t="shared" si="37"/>
        <v>0</v>
      </c>
      <c r="T37" s="164">
        <f t="shared" si="37"/>
        <v>0</v>
      </c>
      <c r="U37" s="164">
        <f t="shared" si="37"/>
        <v>3383.7000000000003</v>
      </c>
      <c r="V37" s="164">
        <f t="shared" si="37"/>
        <v>3383.7000000000003</v>
      </c>
      <c r="W37" s="164">
        <f t="shared" si="37"/>
        <v>3383.7000000000003</v>
      </c>
      <c r="X37" s="164">
        <f t="shared" si="37"/>
        <v>3383.7000000000003</v>
      </c>
      <c r="Y37" s="164">
        <f t="shared" si="37"/>
        <v>15383.7</v>
      </c>
      <c r="Z37" s="164">
        <f t="shared" si="37"/>
        <v>0</v>
      </c>
      <c r="AA37" s="164">
        <f t="shared" si="37"/>
        <v>0</v>
      </c>
      <c r="AB37" s="164">
        <f t="shared" si="37"/>
        <v>62400</v>
      </c>
      <c r="AC37" s="164">
        <f>D37</f>
        <v>91318.5</v>
      </c>
      <c r="AD37" s="164">
        <f t="shared" ref="AD37:AO37" si="38">SUM(AD38:AD39)</f>
        <v>3383.7000000000003</v>
      </c>
      <c r="AE37" s="164">
        <f t="shared" si="38"/>
        <v>3383.7000000000003</v>
      </c>
      <c r="AF37" s="164">
        <f t="shared" si="38"/>
        <v>3695.7000000000003</v>
      </c>
      <c r="AG37" s="164">
        <f t="shared" si="38"/>
        <v>3695.7000000000003</v>
      </c>
      <c r="AH37" s="164">
        <f t="shared" si="38"/>
        <v>3695.7000000000003</v>
      </c>
      <c r="AI37" s="164">
        <f t="shared" si="38"/>
        <v>3695.7000000000003</v>
      </c>
      <c r="AJ37" s="164">
        <f t="shared" si="38"/>
        <v>3695.7000000000003</v>
      </c>
      <c r="AK37" s="164">
        <f t="shared" si="38"/>
        <v>3695.7000000000003</v>
      </c>
      <c r="AL37" s="164">
        <f t="shared" si="38"/>
        <v>7695.7000000000007</v>
      </c>
      <c r="AM37" s="164">
        <f t="shared" si="38"/>
        <v>0</v>
      </c>
      <c r="AN37" s="164">
        <f t="shared" si="38"/>
        <v>0</v>
      </c>
      <c r="AO37" s="164">
        <f t="shared" si="38"/>
        <v>56400</v>
      </c>
      <c r="AP37" s="164">
        <f>E37</f>
        <v>93037.3</v>
      </c>
      <c r="AQ37" s="164">
        <f t="shared" ref="AQ37:BB37" si="39">SUM(AQ38:AQ39)</f>
        <v>3695.7000000000003</v>
      </c>
      <c r="AR37" s="164">
        <f t="shared" si="39"/>
        <v>3695.7000000000003</v>
      </c>
      <c r="AS37" s="164">
        <f t="shared" si="39"/>
        <v>3977.7000000000003</v>
      </c>
      <c r="AT37" s="164">
        <f t="shared" si="39"/>
        <v>3977.7000000000003</v>
      </c>
      <c r="AU37" s="164">
        <f t="shared" si="39"/>
        <v>3977.7000000000003</v>
      </c>
      <c r="AV37" s="164">
        <f t="shared" si="39"/>
        <v>3977.7000000000003</v>
      </c>
      <c r="AW37" s="164">
        <f t="shared" si="39"/>
        <v>3977.7000000000003</v>
      </c>
      <c r="AX37" s="164">
        <f t="shared" si="39"/>
        <v>3977.7000000000003</v>
      </c>
      <c r="AY37" s="164">
        <f t="shared" si="39"/>
        <v>7977.7000000000007</v>
      </c>
      <c r="AZ37" s="164">
        <f t="shared" si="39"/>
        <v>0</v>
      </c>
      <c r="BA37" s="164">
        <f t="shared" si="39"/>
        <v>0</v>
      </c>
      <c r="BB37" s="164">
        <f t="shared" si="39"/>
        <v>0</v>
      </c>
      <c r="BC37" s="164">
        <f t="shared" si="35"/>
        <v>39235.300000000003</v>
      </c>
      <c r="BD37" s="164">
        <f t="shared" si="35"/>
        <v>900331.10000000009</v>
      </c>
      <c r="CN37" s="213"/>
      <c r="CO37" s="213"/>
      <c r="CP37" s="213"/>
      <c r="CQ37" s="213"/>
      <c r="CR37" s="213"/>
      <c r="CS37" s="213"/>
      <c r="CT37" s="213"/>
      <c r="CU37" s="213"/>
      <c r="CV37" s="213"/>
      <c r="CW37" s="213"/>
      <c r="CX37" s="213"/>
      <c r="CY37" s="213"/>
      <c r="CZ37" s="213"/>
      <c r="DA37" s="213"/>
    </row>
    <row r="38" spans="1:105" s="162" customFormat="1" ht="12" x14ac:dyDescent="0.2">
      <c r="B38" s="166" t="s">
        <v>231</v>
      </c>
      <c r="C38" s="165">
        <f>INDEX(Вспомогательный!E22:Q22,1,Результат!$CR$5+1)</f>
        <v>676740</v>
      </c>
      <c r="D38" s="165">
        <f>SUM(Q38:AB38)</f>
        <v>74400</v>
      </c>
      <c r="E38" s="165">
        <f>SUM(AD38:AO38)</f>
        <v>60400</v>
      </c>
      <c r="F38" s="165">
        <f>SUM(AQ38:BB38)</f>
        <v>4000</v>
      </c>
      <c r="G38" s="165">
        <f>C38+D38+E38+F38</f>
        <v>815540</v>
      </c>
      <c r="H38" s="147">
        <f>E38-D38</f>
        <v>-14000</v>
      </c>
      <c r="I38" s="138">
        <f>IF(D38&lt;&gt;0,E38/D38-1,0)</f>
        <v>-0.18817204301075274</v>
      </c>
      <c r="J38" s="147">
        <f>F38-E38</f>
        <v>-56400</v>
      </c>
      <c r="K38" s="138">
        <f>IF(E38&lt;&gt;0,F38/E38-1,0)</f>
        <v>-0.93377483443708609</v>
      </c>
      <c r="P38" s="165">
        <f>C38</f>
        <v>676740</v>
      </c>
      <c r="Q38" s="165">
        <f>IF(COLUMN()-16&lt;&gt;$CR$5,Вспомогательный!F22,0)+Вспомогательный!F100</f>
        <v>0</v>
      </c>
      <c r="R38" s="165">
        <f>IF(COLUMN()-16&lt;&gt;$CR$5,Вспомогательный!G22,0)+Вспомогательный!G100</f>
        <v>0</v>
      </c>
      <c r="S38" s="165">
        <f>IF(COLUMN()-16&lt;&gt;$CR$5,Вспомогательный!H22,0)+Вспомогательный!H100</f>
        <v>0</v>
      </c>
      <c r="T38" s="165">
        <f>IF(COLUMN()-16&lt;&gt;$CR$5,Вспомогательный!I22,0)+Вспомогательный!I100</f>
        <v>0</v>
      </c>
      <c r="U38" s="165">
        <f>IF(COLUMN()-16&lt;&gt;$CR$5,Вспомогательный!J22,0)+Вспомогательный!J100</f>
        <v>0</v>
      </c>
      <c r="V38" s="165">
        <f>IF(COLUMN()-16&lt;&gt;$CR$5,Вспомогательный!K22,0)+Вспомогательный!K100</f>
        <v>0</v>
      </c>
      <c r="W38" s="165">
        <f>IF(COLUMN()-16&lt;&gt;$CR$5,Вспомогательный!L22,0)+Вспомогательный!L100</f>
        <v>0</v>
      </c>
      <c r="X38" s="165">
        <f>IF(COLUMN()-16&lt;&gt;$CR$5,Вспомогательный!M22,0)+Вспомогательный!M100</f>
        <v>0</v>
      </c>
      <c r="Y38" s="165">
        <f>IF(COLUMN()-16&lt;&gt;$CR$5,Вспомогательный!N22,0)+Вспомогательный!N100</f>
        <v>12000</v>
      </c>
      <c r="Z38" s="165">
        <f>IF(COLUMN()-16&lt;&gt;$CR$5,Вспомогательный!O22,0)+Вспомогательный!O100</f>
        <v>0</v>
      </c>
      <c r="AA38" s="165">
        <f>IF(COLUMN()-16&lt;&gt;$CR$5,Вспомогательный!P22,0)+Вспомогательный!P100</f>
        <v>0</v>
      </c>
      <c r="AB38" s="165">
        <f>IF(COLUMN()-16&lt;&gt;$CR$5,Вспомогательный!Q22,0)+Вспомогательный!Q100</f>
        <v>62400</v>
      </c>
      <c r="AC38" s="165">
        <f>D38</f>
        <v>74400</v>
      </c>
      <c r="AD38" s="165">
        <f>IF(COLUMN()-16&lt;&gt;$CR$5,Вспомогательный!S22,0)+Вспомогательный!S100</f>
        <v>0</v>
      </c>
      <c r="AE38" s="165">
        <f>IF(COLUMN()-16&lt;&gt;$CR$5,Вспомогательный!T22,0)+Вспомогательный!T100</f>
        <v>0</v>
      </c>
      <c r="AF38" s="165">
        <f>IF(COLUMN()-16&lt;&gt;$CR$5,Вспомогательный!U22,0)+Вспомогательный!U100</f>
        <v>0</v>
      </c>
      <c r="AG38" s="165">
        <f>IF(COLUMN()-16&lt;&gt;$CR$5,Вспомогательный!V22,0)+Вспомогательный!V100</f>
        <v>0</v>
      </c>
      <c r="AH38" s="165">
        <f>IF(COLUMN()-16&lt;&gt;$CR$5,Вспомогательный!W22,0)+Вспомогательный!W100</f>
        <v>0</v>
      </c>
      <c r="AI38" s="165">
        <f>IF(COLUMN()-16&lt;&gt;$CR$5,Вспомогательный!X22,0)+Вспомогательный!X100</f>
        <v>0</v>
      </c>
      <c r="AJ38" s="165">
        <f>IF(COLUMN()-16&lt;&gt;$CR$5,Вспомогательный!Y22,0)+Вспомогательный!Y100</f>
        <v>0</v>
      </c>
      <c r="AK38" s="165">
        <f>IF(COLUMN()-16&lt;&gt;$CR$5,Вспомогательный!Z22,0)+Вспомогательный!Z100</f>
        <v>0</v>
      </c>
      <c r="AL38" s="165">
        <f>IF(COLUMN()-16&lt;&gt;$CR$5,Вспомогательный!AA22,0)+Вспомогательный!AA100</f>
        <v>4000</v>
      </c>
      <c r="AM38" s="165">
        <f>IF(COLUMN()-16&lt;&gt;$CR$5,Вспомогательный!AB22,0)+Вспомогательный!AB100</f>
        <v>0</v>
      </c>
      <c r="AN38" s="165">
        <f>IF(COLUMN()-16&lt;&gt;$CR$5,Вспомогательный!AC22,0)+Вспомогательный!AC100</f>
        <v>0</v>
      </c>
      <c r="AO38" s="165">
        <f>IF(COLUMN()-16&lt;&gt;$CR$5,Вспомогательный!AD22,0)+Вспомогательный!AD100</f>
        <v>56400</v>
      </c>
      <c r="AP38" s="165">
        <f>E38</f>
        <v>60400</v>
      </c>
      <c r="AQ38" s="165">
        <f>IF(COLUMN()-16&lt;&gt;$CR$5,Вспомогательный!AF22,0)+Вспомогательный!AF100</f>
        <v>0</v>
      </c>
      <c r="AR38" s="165">
        <f>IF(COLUMN()-16&lt;&gt;$CR$5,Вспомогательный!AG22,0)+Вспомогательный!AG100</f>
        <v>0</v>
      </c>
      <c r="AS38" s="165">
        <f>IF(COLUMN()-16&lt;&gt;$CR$5,Вспомогательный!AH22,0)+Вспомогательный!AH100</f>
        <v>0</v>
      </c>
      <c r="AT38" s="165">
        <f>IF(COLUMN()-16&lt;&gt;$CR$5,Вспомогательный!AI22,0)+Вспомогательный!AI100</f>
        <v>0</v>
      </c>
      <c r="AU38" s="165">
        <f>IF(COLUMN()-16&lt;&gt;$CR$5,Вспомогательный!AJ22,0)+Вспомогательный!AJ100</f>
        <v>0</v>
      </c>
      <c r="AV38" s="165">
        <f>IF(COLUMN()-16&lt;&gt;$CR$5,Вспомогательный!AK22,0)+Вспомогательный!AK100</f>
        <v>0</v>
      </c>
      <c r="AW38" s="165">
        <f>IF(COLUMN()-16&lt;&gt;$CR$5,Вспомогательный!AL22,0)+Вспомогательный!AL100</f>
        <v>0</v>
      </c>
      <c r="AX38" s="165">
        <f>IF(COLUMN()-16&lt;&gt;$CR$5,Вспомогательный!AM22,0)+Вспомогательный!AM100</f>
        <v>0</v>
      </c>
      <c r="AY38" s="165">
        <f>IF(COLUMN()-16&lt;&gt;$CR$5,Вспомогательный!AN22,0)+Вспомогательный!AN100</f>
        <v>4000</v>
      </c>
      <c r="AZ38" s="165">
        <f>IF(COLUMN()-16&lt;&gt;$CR$5,Вспомогательный!AO22,0)+Вспомогательный!AO100</f>
        <v>0</v>
      </c>
      <c r="BA38" s="165">
        <f>IF(COLUMN()-16&lt;&gt;$CR$5,Вспомогательный!AP22,0)+Вспомогательный!AP100</f>
        <v>0</v>
      </c>
      <c r="BB38" s="165">
        <f>IF(COLUMN()-16&lt;&gt;$CR$5,Вспомогательный!AQ22,0)+Вспомогательный!AQ100</f>
        <v>0</v>
      </c>
      <c r="BC38" s="165">
        <f t="shared" si="35"/>
        <v>4000</v>
      </c>
      <c r="BD38" s="165">
        <f t="shared" si="35"/>
        <v>815540</v>
      </c>
      <c r="CN38" s="213"/>
      <c r="CO38" s="213"/>
      <c r="CP38" s="213"/>
      <c r="CQ38" s="213"/>
      <c r="CR38" s="213"/>
      <c r="CS38" s="213"/>
      <c r="CT38" s="213"/>
      <c r="CU38" s="213"/>
      <c r="CV38" s="213"/>
      <c r="CW38" s="213"/>
      <c r="CX38" s="213"/>
      <c r="CY38" s="213"/>
      <c r="CZ38" s="213"/>
      <c r="DA38" s="213"/>
    </row>
    <row r="39" spans="1:105" s="162" customFormat="1" ht="12" x14ac:dyDescent="0.2">
      <c r="B39" s="166" t="s">
        <v>301</v>
      </c>
      <c r="C39" s="165">
        <v>0</v>
      </c>
      <c r="D39" s="165">
        <f>SUM(Q39:AB39)</f>
        <v>16918.5</v>
      </c>
      <c r="E39" s="165">
        <f>SUM(AD39:AO39)</f>
        <v>32637.300000000003</v>
      </c>
      <c r="F39" s="165">
        <f>SUM(AQ39:BB39)</f>
        <v>35235.300000000003</v>
      </c>
      <c r="G39" s="165">
        <f>C39+D39+E39+F39</f>
        <v>84791.1</v>
      </c>
      <c r="H39" s="147">
        <f>E39-D39</f>
        <v>15718.800000000003</v>
      </c>
      <c r="I39" s="138">
        <f>IF(D39&lt;&gt;0,E39/D39-1,0)</f>
        <v>0.92908945828530909</v>
      </c>
      <c r="J39" s="147">
        <f>F39-E39</f>
        <v>2598</v>
      </c>
      <c r="K39" s="138">
        <f>IF(E39&lt;&gt;0,F39/E39-1,0)</f>
        <v>7.9602172973867402E-2</v>
      </c>
      <c r="P39" s="165">
        <f>C39</f>
        <v>0</v>
      </c>
      <c r="Q39" s="165">
        <f>Вспомогательный!F27</f>
        <v>0</v>
      </c>
      <c r="R39" s="165">
        <f>Вспомогательный!G27</f>
        <v>0</v>
      </c>
      <c r="S39" s="165">
        <f>Вспомогательный!H27</f>
        <v>0</v>
      </c>
      <c r="T39" s="165">
        <f>Вспомогательный!I27</f>
        <v>0</v>
      </c>
      <c r="U39" s="165">
        <f>Вспомогательный!J27</f>
        <v>3383.7000000000003</v>
      </c>
      <c r="V39" s="165">
        <f>Вспомогательный!K27</f>
        <v>3383.7000000000003</v>
      </c>
      <c r="W39" s="165">
        <f>Вспомогательный!L27</f>
        <v>3383.7000000000003</v>
      </c>
      <c r="X39" s="165">
        <f>Вспомогательный!M27</f>
        <v>3383.7000000000003</v>
      </c>
      <c r="Y39" s="165">
        <f>Вспомогательный!N27</f>
        <v>3383.7000000000003</v>
      </c>
      <c r="Z39" s="165">
        <f>Вспомогательный!O27</f>
        <v>0</v>
      </c>
      <c r="AA39" s="165">
        <f>Вспомогательный!P27</f>
        <v>0</v>
      </c>
      <c r="AB39" s="165">
        <f>Вспомогательный!Q27</f>
        <v>0</v>
      </c>
      <c r="AC39" s="165">
        <f>D39</f>
        <v>16918.5</v>
      </c>
      <c r="AD39" s="165">
        <f>Вспомогательный!S27</f>
        <v>3383.7000000000003</v>
      </c>
      <c r="AE39" s="165">
        <f>Вспомогательный!T27</f>
        <v>3383.7000000000003</v>
      </c>
      <c r="AF39" s="165">
        <f>Вспомогательный!U27</f>
        <v>3695.7000000000003</v>
      </c>
      <c r="AG39" s="165">
        <f>Вспомогательный!V27</f>
        <v>3695.7000000000003</v>
      </c>
      <c r="AH39" s="165">
        <f>Вспомогательный!W27</f>
        <v>3695.7000000000003</v>
      </c>
      <c r="AI39" s="165">
        <f>Вспомогательный!X27</f>
        <v>3695.7000000000003</v>
      </c>
      <c r="AJ39" s="165">
        <f>Вспомогательный!Y27</f>
        <v>3695.7000000000003</v>
      </c>
      <c r="AK39" s="165">
        <f>Вспомогательный!Z27</f>
        <v>3695.7000000000003</v>
      </c>
      <c r="AL39" s="165">
        <f>Вспомогательный!AA27</f>
        <v>3695.7000000000003</v>
      </c>
      <c r="AM39" s="165">
        <f>Вспомогательный!AB27</f>
        <v>0</v>
      </c>
      <c r="AN39" s="165">
        <f>Вспомогательный!AC27</f>
        <v>0</v>
      </c>
      <c r="AO39" s="165">
        <f>Вспомогательный!AD27</f>
        <v>0</v>
      </c>
      <c r="AP39" s="165">
        <f>E39</f>
        <v>32637.300000000003</v>
      </c>
      <c r="AQ39" s="165">
        <f>Вспомогательный!AF27</f>
        <v>3695.7000000000003</v>
      </c>
      <c r="AR39" s="165">
        <f>Вспомогательный!AG27</f>
        <v>3695.7000000000003</v>
      </c>
      <c r="AS39" s="165">
        <f>Вспомогательный!AH27</f>
        <v>3977.7000000000003</v>
      </c>
      <c r="AT39" s="165">
        <f>Вспомогательный!AI27</f>
        <v>3977.7000000000003</v>
      </c>
      <c r="AU39" s="165">
        <f>Вспомогательный!AJ27</f>
        <v>3977.7000000000003</v>
      </c>
      <c r="AV39" s="165">
        <f>Вспомогательный!AK27</f>
        <v>3977.7000000000003</v>
      </c>
      <c r="AW39" s="165">
        <f>Вспомогательный!AL27</f>
        <v>3977.7000000000003</v>
      </c>
      <c r="AX39" s="165">
        <f>Вспомогательный!AM27</f>
        <v>3977.7000000000003</v>
      </c>
      <c r="AY39" s="165">
        <f>Вспомогательный!AN27</f>
        <v>3977.7000000000003</v>
      </c>
      <c r="AZ39" s="165">
        <f>Вспомогательный!AO27</f>
        <v>0</v>
      </c>
      <c r="BA39" s="165">
        <f>Вспомогательный!AP27</f>
        <v>0</v>
      </c>
      <c r="BB39" s="165">
        <f>Вспомогательный!AQ27</f>
        <v>0</v>
      </c>
      <c r="BC39" s="165">
        <f t="shared" si="35"/>
        <v>35235.300000000003</v>
      </c>
      <c r="BD39" s="165">
        <f t="shared" si="35"/>
        <v>84791.1</v>
      </c>
      <c r="CN39" s="213"/>
      <c r="CO39" s="213"/>
      <c r="CP39" s="213"/>
      <c r="CQ39" s="213"/>
      <c r="CR39" s="213"/>
      <c r="CS39" s="213"/>
      <c r="CT39" s="213"/>
      <c r="CU39" s="213"/>
      <c r="CV39" s="213"/>
      <c r="CW39" s="213"/>
      <c r="CX39" s="213"/>
      <c r="CY39" s="213"/>
      <c r="CZ39" s="213"/>
      <c r="DA39" s="213"/>
    </row>
    <row r="40" spans="1:105" s="162" customFormat="1" ht="7.5" customHeight="1" x14ac:dyDescent="0.2">
      <c r="B40" s="166"/>
      <c r="C40" s="165"/>
      <c r="D40" s="165"/>
      <c r="E40" s="165"/>
      <c r="F40" s="165"/>
      <c r="G40" s="165"/>
      <c r="H40" s="147"/>
      <c r="I40" s="138"/>
      <c r="J40" s="147"/>
      <c r="K40" s="138"/>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CN40" s="213"/>
      <c r="CO40" s="213"/>
      <c r="CP40" s="213"/>
      <c r="CQ40" s="213"/>
      <c r="CR40" s="213"/>
      <c r="CS40" s="213"/>
      <c r="CT40" s="213"/>
      <c r="CU40" s="213"/>
      <c r="CV40" s="213"/>
      <c r="CW40" s="213"/>
      <c r="CX40" s="213"/>
      <c r="CY40" s="213"/>
      <c r="CZ40" s="213"/>
      <c r="DA40" s="213"/>
    </row>
    <row r="41" spans="1:105" s="129" customFormat="1" ht="30" x14ac:dyDescent="0.25">
      <c r="A41" s="153"/>
      <c r="B41" s="177" t="s">
        <v>299</v>
      </c>
      <c r="C41" s="155">
        <f ca="1">C33-C35</f>
        <v>-831740</v>
      </c>
      <c r="D41" s="155">
        <f ca="1">D33-D35</f>
        <v>4059997.16</v>
      </c>
      <c r="E41" s="155">
        <f ca="1">E33-E35</f>
        <v>5425510.2999999998</v>
      </c>
      <c r="F41" s="155">
        <f>F33-F35</f>
        <v>6674737.0300000003</v>
      </c>
      <c r="G41" s="155">
        <f ca="1">G33-G35</f>
        <v>15328504.49</v>
      </c>
      <c r="H41" s="156">
        <f ca="1">E41-D41</f>
        <v>1365513.1399999997</v>
      </c>
      <c r="I41" s="157">
        <f ca="1">IF(D41&lt;&gt;0,E41/D41-1,0)</f>
        <v>0.33633352098206881</v>
      </c>
      <c r="J41" s="156">
        <f ca="1">F41-E41</f>
        <v>1249226.7300000004</v>
      </c>
      <c r="K41" s="157">
        <f ca="1">IF(E41&lt;&gt;0,F41/E41-1,0)</f>
        <v>0.23025054988836735</v>
      </c>
      <c r="L41" s="153"/>
      <c r="M41" s="153"/>
      <c r="N41" s="153"/>
      <c r="O41" s="153"/>
      <c r="P41" s="155">
        <f t="shared" ref="P41:BD41" si="40">-P36-P38</f>
        <v>-676740</v>
      </c>
      <c r="Q41" s="155">
        <f t="shared" si="40"/>
        <v>0</v>
      </c>
      <c r="R41" s="155">
        <f t="shared" si="40"/>
        <v>0</v>
      </c>
      <c r="S41" s="155">
        <f t="shared" si="40"/>
        <v>0</v>
      </c>
      <c r="T41" s="155">
        <f t="shared" si="40"/>
        <v>0</v>
      </c>
      <c r="U41" s="155">
        <f t="shared" si="40"/>
        <v>0</v>
      </c>
      <c r="V41" s="155">
        <f t="shared" si="40"/>
        <v>0</v>
      </c>
      <c r="W41" s="155">
        <f t="shared" si="40"/>
        <v>0</v>
      </c>
      <c r="X41" s="155">
        <f t="shared" si="40"/>
        <v>0</v>
      </c>
      <c r="Y41" s="155">
        <f t="shared" si="40"/>
        <v>-12000</v>
      </c>
      <c r="Z41" s="155">
        <f t="shared" si="40"/>
        <v>0</v>
      </c>
      <c r="AA41" s="155">
        <f t="shared" si="40"/>
        <v>0</v>
      </c>
      <c r="AB41" s="155">
        <f t="shared" si="40"/>
        <v>-62400</v>
      </c>
      <c r="AC41" s="155">
        <f t="shared" si="40"/>
        <v>-74400</v>
      </c>
      <c r="AD41" s="155">
        <f t="shared" si="40"/>
        <v>0</v>
      </c>
      <c r="AE41" s="155">
        <f t="shared" si="40"/>
        <v>0</v>
      </c>
      <c r="AF41" s="155">
        <f t="shared" si="40"/>
        <v>0</v>
      </c>
      <c r="AG41" s="155">
        <f t="shared" si="40"/>
        <v>0</v>
      </c>
      <c r="AH41" s="155">
        <f t="shared" si="40"/>
        <v>0</v>
      </c>
      <c r="AI41" s="155">
        <f t="shared" si="40"/>
        <v>0</v>
      </c>
      <c r="AJ41" s="155">
        <f t="shared" si="40"/>
        <v>0</v>
      </c>
      <c r="AK41" s="155">
        <f t="shared" si="40"/>
        <v>0</v>
      </c>
      <c r="AL41" s="155">
        <f t="shared" si="40"/>
        <v>-4000</v>
      </c>
      <c r="AM41" s="155">
        <f t="shared" si="40"/>
        <v>0</v>
      </c>
      <c r="AN41" s="155">
        <f t="shared" si="40"/>
        <v>0</v>
      </c>
      <c r="AO41" s="155">
        <f t="shared" si="40"/>
        <v>-56400</v>
      </c>
      <c r="AP41" s="155">
        <f t="shared" si="40"/>
        <v>-60400</v>
      </c>
      <c r="AQ41" s="155">
        <f t="shared" si="40"/>
        <v>0</v>
      </c>
      <c r="AR41" s="155">
        <f t="shared" si="40"/>
        <v>0</v>
      </c>
      <c r="AS41" s="155">
        <f t="shared" si="40"/>
        <v>0</v>
      </c>
      <c r="AT41" s="155">
        <f t="shared" si="40"/>
        <v>0</v>
      </c>
      <c r="AU41" s="155">
        <f t="shared" si="40"/>
        <v>0</v>
      </c>
      <c r="AV41" s="155">
        <f t="shared" si="40"/>
        <v>0</v>
      </c>
      <c r="AW41" s="155">
        <f t="shared" si="40"/>
        <v>0</v>
      </c>
      <c r="AX41" s="155">
        <f t="shared" si="40"/>
        <v>0</v>
      </c>
      <c r="AY41" s="155">
        <f t="shared" si="40"/>
        <v>-4000</v>
      </c>
      <c r="AZ41" s="155">
        <f t="shared" si="40"/>
        <v>0</v>
      </c>
      <c r="BA41" s="155">
        <f t="shared" si="40"/>
        <v>0</v>
      </c>
      <c r="BB41" s="155">
        <f t="shared" si="40"/>
        <v>0</v>
      </c>
      <c r="BC41" s="155">
        <f t="shared" si="40"/>
        <v>-4000</v>
      </c>
      <c r="BD41" s="155">
        <f t="shared" si="40"/>
        <v>-815540</v>
      </c>
      <c r="CN41" s="190"/>
      <c r="CO41" s="190"/>
      <c r="CP41" s="190"/>
      <c r="CQ41" s="190"/>
      <c r="CR41" s="190"/>
      <c r="CS41" s="190"/>
      <c r="CT41" s="190"/>
      <c r="CU41" s="190"/>
      <c r="CV41" s="190"/>
      <c r="CW41" s="190"/>
      <c r="CX41" s="190"/>
      <c r="CY41" s="190"/>
      <c r="CZ41" s="190"/>
      <c r="DA41" s="190"/>
    </row>
    <row r="42" spans="1:105" s="173" customFormat="1" x14ac:dyDescent="0.25">
      <c r="B42" s="174" t="s">
        <v>297</v>
      </c>
      <c r="C42" s="175">
        <f>IF(C8=0,0,C41/C8)</f>
        <v>0</v>
      </c>
      <c r="D42" s="175">
        <f ca="1">IF(D8=0,0,D41/D8)</f>
        <v>0.51571236440311974</v>
      </c>
      <c r="E42" s="175">
        <f ca="1">IF(E8=0,0,E41/E8)</f>
        <v>0.57625013807460279</v>
      </c>
      <c r="F42" s="175">
        <f>IF(F8=0,0,F41/F8)</f>
        <v>0.62981932484482717</v>
      </c>
      <c r="G42" s="175">
        <f ca="1">IF(G8=0,0,G41/G8)</f>
        <v>0.54969129258550808</v>
      </c>
      <c r="CN42" s="214"/>
      <c r="CO42" s="214"/>
      <c r="CP42" s="214"/>
      <c r="CQ42" s="214"/>
      <c r="CR42" s="214"/>
      <c r="CS42" s="214"/>
      <c r="CT42" s="214"/>
      <c r="CU42" s="214"/>
      <c r="CV42" s="214"/>
      <c r="CW42" s="214"/>
      <c r="CX42" s="214"/>
      <c r="CY42" s="214"/>
      <c r="CZ42" s="214"/>
      <c r="DA42" s="214"/>
    </row>
    <row r="43" spans="1:105" s="173" customFormat="1" x14ac:dyDescent="0.25">
      <c r="B43" s="174"/>
      <c r="C43" s="175"/>
      <c r="D43" s="175"/>
      <c r="E43" s="175"/>
      <c r="F43" s="175"/>
      <c r="G43" s="175"/>
      <c r="CN43" s="214"/>
      <c r="CO43" s="214"/>
      <c r="CP43" s="214"/>
      <c r="CQ43" s="214"/>
      <c r="CR43" s="214"/>
      <c r="CS43" s="214"/>
      <c r="CT43" s="214"/>
      <c r="CU43" s="214"/>
      <c r="CV43" s="214"/>
      <c r="CW43" s="214"/>
      <c r="CX43" s="214"/>
      <c r="CY43" s="214"/>
      <c r="CZ43" s="214"/>
      <c r="DA43" s="214"/>
    </row>
    <row r="44" spans="1:105" s="129" customFormat="1" x14ac:dyDescent="0.25">
      <c r="A44" s="153"/>
      <c r="B44" s="154" t="s">
        <v>236</v>
      </c>
      <c r="C44" s="155">
        <f ca="1">C41</f>
        <v>-831740</v>
      </c>
      <c r="D44" s="155">
        <f ca="1">C44+D41</f>
        <v>3228257.16</v>
      </c>
      <c r="E44" s="155">
        <f t="shared" ref="E44:F44" ca="1" si="41">D44+E41</f>
        <v>8653767.4600000009</v>
      </c>
      <c r="F44" s="155">
        <f t="shared" ca="1" si="41"/>
        <v>15328504.490000002</v>
      </c>
      <c r="G44" s="155">
        <f ca="1">G41</f>
        <v>15328504.49</v>
      </c>
      <c r="H44" s="156">
        <f ca="1">E44-D44</f>
        <v>5425510.3000000007</v>
      </c>
      <c r="I44" s="157">
        <f ca="1">IF(D44&lt;&gt;0,IF(D44&lt;0,(E44-D44)/(-D44)*2-1,E44/D44-1),0)</f>
        <v>1.6806313843968987</v>
      </c>
      <c r="J44" s="156">
        <f ca="1">F44-E44</f>
        <v>6674737.0300000012</v>
      </c>
      <c r="K44" s="157">
        <f ca="1">IF(E44&lt;&gt;0,IF(E44&lt;0,(F44-E44)/(-E44)*2-1,F44/E44-1),0)</f>
        <v>0.77130995960457671</v>
      </c>
      <c r="L44" s="153"/>
      <c r="M44" s="153"/>
      <c r="N44" s="153"/>
      <c r="O44" s="153"/>
      <c r="P44" s="155">
        <f ca="1">C44</f>
        <v>-831740</v>
      </c>
      <c r="Q44" s="155">
        <f ca="1">Q8-Q36-Q16-Q19-Q25-Q26-Q37-Q27-Q31+C44</f>
        <v>-711697.28750000009</v>
      </c>
      <c r="R44" s="155">
        <f t="shared" ref="R44:AB44" ca="1" si="42">R8-R36-R16-R19-R25-R26-R37-R27-R31+Q44</f>
        <v>-379661.41250000009</v>
      </c>
      <c r="S44" s="155">
        <f t="shared" ca="1" si="42"/>
        <v>16038.849999999919</v>
      </c>
      <c r="T44" s="155">
        <f t="shared" ca="1" si="42"/>
        <v>585885.06749999989</v>
      </c>
      <c r="U44" s="155">
        <f t="shared" ca="1" si="42"/>
        <v>1071152.3374999999</v>
      </c>
      <c r="V44" s="155">
        <f t="shared" ca="1" si="42"/>
        <v>1640614.855</v>
      </c>
      <c r="W44" s="155">
        <f t="shared" ca="1" si="42"/>
        <v>2210077.3725000001</v>
      </c>
      <c r="X44" s="155">
        <f t="shared" ca="1" si="42"/>
        <v>2779539.89</v>
      </c>
      <c r="Y44" s="155">
        <f t="shared" ca="1" si="42"/>
        <v>3285807.16</v>
      </c>
      <c r="Z44" s="155">
        <f t="shared" ca="1" si="42"/>
        <v>3295423.8266666667</v>
      </c>
      <c r="AA44" s="155">
        <f t="shared" ca="1" si="42"/>
        <v>3305040.4933333332</v>
      </c>
      <c r="AB44" s="155">
        <f t="shared" ca="1" si="42"/>
        <v>3228257.1599999997</v>
      </c>
      <c r="AC44" s="155">
        <f ca="1">D44</f>
        <v>3228257.16</v>
      </c>
      <c r="AD44" s="155">
        <f ca="1">AD8-AD36-AD16-AD19-AD25-AD26-AD37-AD27-AD31+AB44</f>
        <v>3765101.13</v>
      </c>
      <c r="AE44" s="155">
        <f t="shared" ref="AE44:AO44" ca="1" si="43">AE8-AE36-AE16-AE19-AE25-AE26-AE37-AE27-AE31+AD44</f>
        <v>4386609.4874999998</v>
      </c>
      <c r="AF44" s="155">
        <f t="shared" ca="1" si="43"/>
        <v>5007805.8449999997</v>
      </c>
      <c r="AG44" s="155">
        <f t="shared" ca="1" si="43"/>
        <v>5653190.2024999997</v>
      </c>
      <c r="AH44" s="155">
        <f t="shared" ca="1" si="43"/>
        <v>6192177.2949999999</v>
      </c>
      <c r="AI44" s="155">
        <f t="shared" ca="1" si="43"/>
        <v>6840561.6524999999</v>
      </c>
      <c r="AJ44" s="155">
        <f t="shared" ca="1" si="43"/>
        <v>7488946.0099999998</v>
      </c>
      <c r="AK44" s="155">
        <f t="shared" ca="1" si="43"/>
        <v>8137330.3674999997</v>
      </c>
      <c r="AL44" s="155">
        <f t="shared" ca="1" si="43"/>
        <v>8705317.459999999</v>
      </c>
      <c r="AM44" s="155">
        <f t="shared" ca="1" si="43"/>
        <v>8714934.1266666651</v>
      </c>
      <c r="AN44" s="155">
        <f t="shared" ca="1" si="43"/>
        <v>8724550.7933333311</v>
      </c>
      <c r="AO44" s="155">
        <f t="shared" ca="1" si="43"/>
        <v>8653767.4599999972</v>
      </c>
      <c r="AP44" s="155">
        <f ca="1">E44</f>
        <v>8653767.4600000009</v>
      </c>
      <c r="AQ44" s="155">
        <f ca="1">AQ8-AQ36-AQ16-AQ19-AQ25-AQ26-AQ37-AQ27-AQ31+AO44</f>
        <v>9292162.4499999974</v>
      </c>
      <c r="AR44" s="155">
        <f t="shared" ref="AR44:BB44" ca="1" si="44">AR8-AR36-AR16-AR19-AR25-AR26-AR37-AR27-AR31+AQ44</f>
        <v>10027954.704999998</v>
      </c>
      <c r="AS44" s="155">
        <f t="shared" ca="1" si="44"/>
        <v>10788930.714999998</v>
      </c>
      <c r="AT44" s="155">
        <f t="shared" ca="1" si="44"/>
        <v>11574094.724999998</v>
      </c>
      <c r="AU44" s="155">
        <f t="shared" ca="1" si="44"/>
        <v>12240128.592499997</v>
      </c>
      <c r="AV44" s="155">
        <f t="shared" ca="1" si="44"/>
        <v>13028292.602499997</v>
      </c>
      <c r="AW44" s="155">
        <f t="shared" ca="1" si="44"/>
        <v>13816456.612499997</v>
      </c>
      <c r="AX44" s="155">
        <f t="shared" ca="1" si="44"/>
        <v>14604620.622499997</v>
      </c>
      <c r="AY44" s="155">
        <f t="shared" ca="1" si="44"/>
        <v>15299654.489999996</v>
      </c>
      <c r="AZ44" s="155">
        <f t="shared" ca="1" si="44"/>
        <v>15309271.156666663</v>
      </c>
      <c r="BA44" s="155">
        <f t="shared" ca="1" si="44"/>
        <v>15318887.823333329</v>
      </c>
      <c r="BB44" s="155">
        <f t="shared" ca="1" si="44"/>
        <v>15328504.489999995</v>
      </c>
      <c r="BC44" s="155">
        <f ca="1">F44</f>
        <v>15328504.490000002</v>
      </c>
      <c r="BD44" s="155">
        <f ca="1">G44</f>
        <v>15328504.49</v>
      </c>
      <c r="CN44" s="190"/>
      <c r="CO44" s="190"/>
      <c r="CP44" s="190"/>
      <c r="CQ44" s="190"/>
      <c r="CR44" s="190"/>
      <c r="CS44" s="190"/>
      <c r="CT44" s="190"/>
      <c r="CU44" s="190"/>
      <c r="CV44" s="190"/>
      <c r="CW44" s="190"/>
      <c r="CX44" s="190"/>
      <c r="CY44" s="190"/>
      <c r="CZ44" s="190"/>
      <c r="DA44" s="190"/>
    </row>
    <row r="45" spans="1:105" s="66" customFormat="1" ht="12.75" x14ac:dyDescent="0.2">
      <c r="C45" s="108"/>
      <c r="D45" s="109"/>
      <c r="E45" s="109" t="str">
        <f>" "</f>
        <v xml:space="preserve"> </v>
      </c>
      <c r="F45" s="109" t="str">
        <f>" "</f>
        <v xml:space="preserve"> </v>
      </c>
      <c r="G45" s="109" t="str">
        <f>" "</f>
        <v xml:space="preserve"> </v>
      </c>
      <c r="I45" s="140"/>
      <c r="K45" s="104"/>
      <c r="Q45" s="108" t="str">
        <f ca="1">IF(AND(D44&lt;0,Q44&gt;0,COUNTIF(E$45:$G$45," ")=COLUMNS(E$45:$G$45)),Вспомогательный!$R$16," ")</f>
        <v xml:space="preserve"> </v>
      </c>
      <c r="R45" s="108" t="str">
        <f ca="1">IF(AND(Q44&lt;0,R44&gt;0,COUNTIF(E$45:$G$45," ")=COLUMNS(E$45:$G$45)),Вспомогательный!$R$16," ")</f>
        <v xml:space="preserve"> </v>
      </c>
      <c r="S45" s="108" t="str">
        <f ca="1">IF(AND(R44&lt;0,S44&gt;0,COUNTIF(E$45:$G$45," ")=COLUMNS(E$45:$G$45)),Вспомогательный!$R$16," ")</f>
        <v>Окупаемость</v>
      </c>
      <c r="T45" s="108" t="str">
        <f ca="1">IF(AND(S44&lt;0,T44&gt;0,COUNTIF(E$45:$G$45," ")=COLUMNS(E$45:$G$45)),Вспомогательный!$R$16," ")</f>
        <v xml:space="preserve"> </v>
      </c>
      <c r="U45" s="108" t="str">
        <f ca="1">IF(AND(T44&lt;0,U44&gt;0,COUNTIF(E$45:$G$45," ")=COLUMNS(E$45:$G$45)),Вспомогательный!$R$16," ")</f>
        <v xml:space="preserve"> </v>
      </c>
      <c r="V45" s="108" t="str">
        <f ca="1">IF(AND(U44&lt;0,V44&gt;0,COUNTIF(E$45:$G$45," ")=COLUMNS(E$45:$G$45)),Вспомогательный!$R$16," ")</f>
        <v xml:space="preserve"> </v>
      </c>
      <c r="W45" s="108" t="str">
        <f ca="1">IF(AND(V44&lt;0,W44&gt;0,COUNTIF(E$45:$G$45," ")=COLUMNS(E$45:$G$45)),Вспомогательный!$R$16," ")</f>
        <v xml:space="preserve"> </v>
      </c>
      <c r="X45" s="108" t="str">
        <f ca="1">IF(AND(W44&lt;0,X44&gt;0,COUNTIF(E$45:$G$45," ")=COLUMNS(E$45:$G$45)),Вспомогательный!$R$16," ")</f>
        <v xml:space="preserve"> </v>
      </c>
      <c r="Y45" s="108" t="str">
        <f ca="1">IF(AND(X44&lt;0,Y44&gt;0,COUNTIF(E$45:$G$45," ")=COLUMNS(E$45:$G$45)),Вспомогательный!$R$16," ")</f>
        <v xml:space="preserve"> </v>
      </c>
      <c r="Z45" s="108" t="str">
        <f ca="1">IF(AND(Y44&lt;0,Z44&gt;0,COUNTIF(E$45:$G$45," ")=COLUMNS(E$45:$G$45)),Вспомогательный!$R$16," ")</f>
        <v xml:space="preserve"> </v>
      </c>
      <c r="AA45" s="108" t="str">
        <f ca="1">IF(AND(Z44&lt;0,AA44&gt;0,COUNTIF(E$45:$G$45," ")=COLUMNS(E$45:$G$45)),Вспомогательный!$R$16," ")</f>
        <v xml:space="preserve"> </v>
      </c>
      <c r="AB45" s="108" t="str">
        <f ca="1">IF(AND(AA44&lt;0,AB44&gt;0,COUNTIF(E$45:$G$45," ")=COLUMNS(E$45:$G$45)),Вспомогательный!$R$16," ")</f>
        <v xml:space="preserve"> </v>
      </c>
      <c r="AD45" s="108" t="str">
        <f ca="1">IF(AND(AB44&lt;0,AD44&gt;0,COUNTIF(F$45:$G$45," ")=COLUMNS(F$45:$G$45)),Вспомогательный!$R$16," ")</f>
        <v xml:space="preserve"> </v>
      </c>
      <c r="AE45" s="108" t="str">
        <f ca="1">IF(AND(AD44&lt;0,AE44&gt;0,COUNTIF(F$45:$G$45," ")=COLUMNS(F$45:$G$45)),Вспомогательный!$R$16," ")</f>
        <v xml:space="preserve"> </v>
      </c>
      <c r="AF45" s="108" t="str">
        <f ca="1">IF(AND(AE44&lt;0,AF44&gt;0,COUNTIF(F$45:$G$45," ")=COLUMNS(F$45:$G$45)),Вспомогательный!$R$16," ")</f>
        <v xml:space="preserve"> </v>
      </c>
      <c r="AG45" s="108" t="str">
        <f ca="1">IF(AND(AF44&lt;0,AG44&gt;0,COUNTIF(F$45:$G$45," ")=COLUMNS(F$45:$G$45)),Вспомогательный!$R$16," ")</f>
        <v xml:space="preserve"> </v>
      </c>
      <c r="AH45" s="108" t="str">
        <f ca="1">IF(AND(AG44&lt;0,AH44&gt;0,COUNTIF(F$45:$G$45," ")=COLUMNS(F$45:$G$45)),Вспомогательный!$R$16," ")</f>
        <v xml:space="preserve"> </v>
      </c>
      <c r="AI45" s="108" t="str">
        <f ca="1">IF(AND(AH44&lt;0,AI44&gt;0,COUNTIF(F$45:$G$45," ")=COLUMNS(F$45:$G$45)),Вспомогательный!$R$16," ")</f>
        <v xml:space="preserve"> </v>
      </c>
      <c r="AJ45" s="108" t="str">
        <f ca="1">IF(AND(AI44&lt;0,AJ44&gt;0,COUNTIF(F$45:$G$45," ")=COLUMNS(F$45:$G$45)),Вспомогательный!$R$16," ")</f>
        <v xml:space="preserve"> </v>
      </c>
      <c r="AK45" s="108" t="str">
        <f ca="1">IF(AND(AJ44&lt;0,AK44&gt;0,COUNTIF(F$45:$G$45," ")=COLUMNS(F$45:$G$45)),Вспомогательный!$R$16," ")</f>
        <v xml:space="preserve"> </v>
      </c>
      <c r="AL45" s="108" t="str">
        <f ca="1">IF(AND(AK44&lt;0,AL44&gt;0,COUNTIF(F$45:$G$45," ")=COLUMNS(F$45:$G$45)),Вспомогательный!$R$16," ")</f>
        <v xml:space="preserve"> </v>
      </c>
      <c r="AM45" s="108" t="str">
        <f ca="1">IF(AND(AL44&lt;0,AM44&gt;0,COUNTIF(F$45:$G$45," ")=COLUMNS(F$45:$G$45)),Вспомогательный!$R$16," ")</f>
        <v xml:space="preserve"> </v>
      </c>
      <c r="AN45" s="108" t="str">
        <f ca="1">IF(AND(AM44&lt;0,AN44&gt;0,COUNTIF(F$45:$G$45," ")=COLUMNS(F$45:$G$45)),Вспомогательный!$R$16," ")</f>
        <v xml:space="preserve"> </v>
      </c>
      <c r="AO45" s="108" t="str">
        <f ca="1">IF(AND(AN44&lt;0,AO44&gt;0,COUNTIF(F$45:$G$45," ")=COLUMNS(F$45:$G$45)),Вспомогательный!$R$16," ")</f>
        <v xml:space="preserve"> </v>
      </c>
      <c r="AQ45" s="108" t="str">
        <f ca="1">IF(AND(AO44&lt;0,AQ44&gt;0,COUNTIF(G$45:$G$45," ")=COLUMNS(G$45:$G$45)),Вспомогательный!$R$16," ")</f>
        <v xml:space="preserve"> </v>
      </c>
      <c r="AR45" s="108" t="str">
        <f ca="1">IF(AND(AQ44&lt;0,AR44&gt;0,COUNTIF(G$45:$G$45," ")=COLUMNS(G$45:$G$45)),Вспомогательный!$R$16," ")</f>
        <v xml:space="preserve"> </v>
      </c>
      <c r="AS45" s="108" t="str">
        <f ca="1">IF(AND(AR44&lt;0,AS44&gt;0,COUNTIF(G$45:$G$45," ")=COLUMNS(G$45:$G$45)),Вспомогательный!$R$16," ")</f>
        <v xml:space="preserve"> </v>
      </c>
      <c r="AT45" s="108" t="str">
        <f ca="1">IF(AND(AS44&lt;0,AT44&gt;0,COUNTIF(G$45:$G$45," ")=COLUMNS(G$45:$G$45)),Вспомогательный!$R$16," ")</f>
        <v xml:space="preserve"> </v>
      </c>
      <c r="AU45" s="108" t="str">
        <f ca="1">IF(AND(AT44&lt;0,AU44&gt;0,COUNTIF(G$45:$G$45," ")=COLUMNS(G$45:$G$45)),Вспомогательный!$R$16," ")</f>
        <v xml:space="preserve"> </v>
      </c>
      <c r="AV45" s="108" t="str">
        <f ca="1">IF(AND(AU44&lt;0,AV44&gt;0,COUNTIF(G$45:$G$45," ")=COLUMNS(G$45:$G$45)),Вспомогательный!$R$16," ")</f>
        <v xml:space="preserve"> </v>
      </c>
      <c r="AW45" s="108" t="str">
        <f ca="1">IF(AND(AV44&lt;0,AW44&gt;0,COUNTIF(G$45:$G$45," ")=COLUMNS(G$45:$G$45)),Вспомогательный!$R$16," ")</f>
        <v xml:space="preserve"> </v>
      </c>
      <c r="AX45" s="108" t="str">
        <f ca="1">IF(AND(AW44&lt;0,AX44&gt;0,COUNTIF(G$45:$G$45," ")=COLUMNS(G$45:$G$45)),Вспомогательный!$R$16," ")</f>
        <v xml:space="preserve"> </v>
      </c>
      <c r="AY45" s="108" t="str">
        <f ca="1">IF(AND(AX44&lt;0,AY44&gt;0,COUNTIF(G$45:$G$45," ")=COLUMNS(G$45:$G$45)),Вспомогательный!$R$16," ")</f>
        <v xml:space="preserve"> </v>
      </c>
      <c r="AZ45" s="108" t="str">
        <f ca="1">IF(AND(AY44&lt;0,AZ44&gt;0,COUNTIF(G$45:$G$45," ")=COLUMNS(G$45:$G$45)),Вспомогательный!$R$16," ")</f>
        <v xml:space="preserve"> </v>
      </c>
      <c r="BA45" s="108" t="str">
        <f ca="1">IF(AND(AZ44&lt;0,BA44&gt;0,COUNTIF(G$45:$G$45," ")=COLUMNS(G$45:$G$45)),Вспомогательный!$R$16," ")</f>
        <v xml:space="preserve"> </v>
      </c>
      <c r="BB45" s="108" t="str">
        <f ca="1">IF(AND(BA44&lt;0,BB44&gt;0,COUNTIF(G$45:$G$45," ")=COLUMNS(G$45:$G$45)),Вспомогательный!$R$16," ")</f>
        <v xml:space="preserve"> </v>
      </c>
      <c r="CN45" s="209"/>
      <c r="CO45" s="209"/>
      <c r="CP45" s="209"/>
      <c r="CQ45" s="209">
        <f ca="1">IF(ISERROR(MATCH(Вспомогательный!R16,Q45:BB45,0))=TRUE,0,MATCH(Вспомогательный!R16,Q45:BB45,0))</f>
        <v>3</v>
      </c>
      <c r="CR45" s="209">
        <f ca="1">IF(CQ45&lt;1,0,$CQ$45-ROUNDDOWN($CQ$45/12,0)-Вспомогательный!$D$17+1)</f>
        <v>4</v>
      </c>
      <c r="CS45" s="209"/>
      <c r="CT45" s="209"/>
      <c r="CU45" s="209"/>
      <c r="CV45" s="209"/>
      <c r="CW45" s="209"/>
      <c r="CX45" s="209"/>
      <c r="CY45" s="209"/>
      <c r="CZ45" s="209"/>
      <c r="DA45" s="209"/>
    </row>
    <row r="46" spans="1:105" x14ac:dyDescent="0.25">
      <c r="B46" s="66"/>
      <c r="C46" s="107"/>
      <c r="D46" s="107"/>
      <c r="G46" s="107"/>
      <c r="AL46" s="107"/>
      <c r="AO46" s="107"/>
      <c r="AQ46" s="107"/>
      <c r="CN46" s="190"/>
      <c r="CO46" s="190"/>
      <c r="CP46" s="190"/>
      <c r="CQ46" s="190"/>
      <c r="CR46" s="190"/>
      <c r="CS46" s="190"/>
      <c r="CT46" s="190"/>
      <c r="CU46" s="190"/>
      <c r="CV46" s="190"/>
      <c r="CW46" s="190"/>
      <c r="CX46" s="190"/>
      <c r="CY46" s="190"/>
      <c r="CZ46" s="190"/>
      <c r="DA46" s="190"/>
    </row>
    <row r="47" spans="1:105" x14ac:dyDescent="0.25">
      <c r="A47" s="110" t="s">
        <v>157</v>
      </c>
      <c r="CN47" s="190"/>
      <c r="CO47" s="190"/>
      <c r="CP47" s="190"/>
      <c r="CQ47" s="190"/>
      <c r="CR47" s="190"/>
      <c r="CS47" s="190"/>
      <c r="CT47" s="190"/>
      <c r="CU47" s="190"/>
      <c r="CV47" s="190"/>
      <c r="CW47" s="190"/>
      <c r="CX47" s="190"/>
      <c r="CY47" s="190"/>
      <c r="CZ47" s="190"/>
      <c r="DA47" s="190"/>
    </row>
    <row r="48" spans="1:105" x14ac:dyDescent="0.25">
      <c r="A48" s="6"/>
      <c r="CN48" s="190"/>
      <c r="CO48" s="190"/>
      <c r="CP48" s="190"/>
      <c r="CQ48" s="190"/>
      <c r="CR48" s="190"/>
      <c r="CS48" s="190"/>
      <c r="CT48" s="190"/>
      <c r="CU48" s="190"/>
      <c r="CV48" s="190"/>
      <c r="CW48" s="190"/>
      <c r="CX48" s="190"/>
      <c r="CY48" s="190"/>
      <c r="CZ48" s="190"/>
      <c r="DA48" s="190"/>
    </row>
    <row r="49" spans="1:105" x14ac:dyDescent="0.25">
      <c r="A49" s="6"/>
      <c r="CN49" s="190"/>
      <c r="CO49" s="190"/>
      <c r="CP49" s="190"/>
      <c r="CQ49" s="190"/>
      <c r="CR49" s="190"/>
      <c r="CS49" s="190"/>
      <c r="CT49" s="190"/>
      <c r="CU49" s="190"/>
      <c r="CV49" s="190"/>
      <c r="CW49" s="190"/>
      <c r="CX49" s="190"/>
      <c r="CY49" s="190"/>
      <c r="CZ49" s="190"/>
      <c r="DA49" s="190"/>
    </row>
    <row r="50" spans="1:105" x14ac:dyDescent="0.25">
      <c r="A50" s="6"/>
      <c r="CN50" s="190"/>
      <c r="CO50" s="190"/>
      <c r="CP50" s="190"/>
      <c r="CQ50" s="190"/>
      <c r="CR50" s="190"/>
      <c r="CS50" s="190"/>
      <c r="CT50" s="190"/>
      <c r="CU50" s="190"/>
      <c r="CV50" s="190"/>
      <c r="CW50" s="190"/>
      <c r="CX50" s="190"/>
      <c r="CY50" s="190"/>
      <c r="CZ50" s="190"/>
      <c r="DA50" s="190"/>
    </row>
    <row r="51" spans="1:105" x14ac:dyDescent="0.25">
      <c r="A51" s="6"/>
      <c r="CN51" s="190"/>
      <c r="CO51" s="190"/>
      <c r="CP51" s="190"/>
      <c r="CQ51" s="190"/>
      <c r="CR51" s="190"/>
      <c r="CS51" s="190"/>
      <c r="CT51" s="190"/>
      <c r="CU51" s="190"/>
      <c r="CV51" s="190"/>
      <c r="CW51" s="190"/>
      <c r="CX51" s="190"/>
      <c r="CY51" s="190"/>
      <c r="CZ51" s="190"/>
      <c r="DA51" s="190"/>
    </row>
    <row r="52" spans="1:105" x14ac:dyDescent="0.25">
      <c r="A52" s="6"/>
      <c r="CN52" s="190"/>
      <c r="CO52" s="190"/>
      <c r="CP52" s="190"/>
      <c r="CQ52" s="190"/>
      <c r="CR52" s="190"/>
      <c r="CS52" s="190"/>
      <c r="CT52" s="190"/>
      <c r="CU52" s="190"/>
      <c r="CV52" s="190"/>
      <c r="CW52" s="190"/>
      <c r="CX52" s="190"/>
      <c r="CY52" s="190"/>
      <c r="CZ52" s="190"/>
      <c r="DA52" s="190"/>
    </row>
    <row r="53" spans="1:105" x14ac:dyDescent="0.25">
      <c r="A53" s="6"/>
      <c r="CN53" s="190"/>
      <c r="CO53" s="190"/>
      <c r="CP53" s="190"/>
      <c r="CQ53" s="190"/>
      <c r="CR53" s="190"/>
      <c r="CS53" s="190"/>
      <c r="CT53" s="190"/>
      <c r="CU53" s="190"/>
      <c r="CV53" s="190"/>
      <c r="CW53" s="190"/>
      <c r="CX53" s="190"/>
      <c r="CY53" s="190"/>
      <c r="CZ53" s="190"/>
      <c r="DA53" s="190"/>
    </row>
    <row r="54" spans="1:105" x14ac:dyDescent="0.25">
      <c r="A54" s="6"/>
      <c r="CN54" s="190"/>
      <c r="CO54" s="190"/>
      <c r="CP54" s="190"/>
      <c r="CQ54" s="190"/>
      <c r="CR54" s="190"/>
      <c r="CS54" s="190"/>
      <c r="CT54" s="190"/>
      <c r="CU54" s="190"/>
      <c r="CV54" s="190"/>
      <c r="CW54" s="190"/>
      <c r="CX54" s="190"/>
      <c r="CY54" s="190"/>
      <c r="CZ54" s="190"/>
      <c r="DA54" s="190"/>
    </row>
    <row r="55" spans="1:105" x14ac:dyDescent="0.25">
      <c r="A55" s="6"/>
      <c r="CN55" s="190"/>
      <c r="CO55" s="190"/>
      <c r="CP55" s="190"/>
      <c r="CQ55" s="190"/>
      <c r="CR55" s="190"/>
      <c r="CS55" s="190"/>
      <c r="CT55" s="190"/>
      <c r="CU55" s="190"/>
      <c r="CV55" s="190"/>
      <c r="CW55" s="190"/>
      <c r="CX55" s="190"/>
      <c r="CY55" s="190"/>
      <c r="CZ55" s="190"/>
      <c r="DA55" s="190"/>
    </row>
    <row r="56" spans="1:105" x14ac:dyDescent="0.25">
      <c r="A56" s="6"/>
      <c r="CN56" s="190"/>
      <c r="CO56" s="190"/>
      <c r="CP56" s="190"/>
      <c r="CQ56" s="190"/>
      <c r="CR56" s="190"/>
      <c r="CS56" s="190"/>
      <c r="CT56" s="190"/>
      <c r="CU56" s="190"/>
      <c r="CV56" s="190"/>
      <c r="CW56" s="190"/>
      <c r="CX56" s="190"/>
      <c r="CY56" s="190"/>
      <c r="CZ56" s="190"/>
      <c r="DA56" s="190"/>
    </row>
    <row r="57" spans="1:105" x14ac:dyDescent="0.25">
      <c r="A57" s="6"/>
      <c r="CN57" s="190"/>
      <c r="CO57" s="190"/>
      <c r="CP57" s="190"/>
      <c r="CQ57" s="190"/>
      <c r="CR57" s="190"/>
      <c r="CS57" s="190"/>
      <c r="CT57" s="190"/>
      <c r="CU57" s="190"/>
      <c r="CV57" s="190"/>
      <c r="CW57" s="190"/>
      <c r="CX57" s="190"/>
      <c r="CY57" s="190"/>
      <c r="CZ57" s="190"/>
      <c r="DA57" s="190"/>
    </row>
    <row r="58" spans="1:105" x14ac:dyDescent="0.25">
      <c r="A58" s="6"/>
      <c r="CN58" s="190"/>
      <c r="CO58" s="190"/>
      <c r="CP58" s="190"/>
      <c r="CQ58" s="190"/>
      <c r="CR58" s="190"/>
      <c r="CS58" s="190"/>
      <c r="CT58" s="190"/>
      <c r="CU58" s="190"/>
      <c r="CV58" s="190"/>
      <c r="CW58" s="190"/>
      <c r="CX58" s="190"/>
      <c r="CY58" s="190"/>
      <c r="CZ58" s="190"/>
      <c r="DA58" s="190"/>
    </row>
    <row r="59" spans="1:105" x14ac:dyDescent="0.25">
      <c r="A59" s="6"/>
      <c r="CN59" s="190"/>
      <c r="CO59" s="190"/>
      <c r="CP59" s="190"/>
      <c r="CQ59" s="190"/>
      <c r="CR59" s="190"/>
      <c r="CS59" s="190"/>
      <c r="CT59" s="190"/>
      <c r="CU59" s="190"/>
      <c r="CV59" s="190"/>
      <c r="CW59" s="190"/>
      <c r="CX59" s="190"/>
      <c r="CY59" s="190"/>
      <c r="CZ59" s="190"/>
      <c r="DA59" s="190"/>
    </row>
    <row r="60" spans="1:105" x14ac:dyDescent="0.25">
      <c r="A60" s="6"/>
      <c r="CN60" s="190"/>
      <c r="CO60" s="190"/>
      <c r="CP60" s="190"/>
      <c r="CQ60" s="190"/>
      <c r="CR60" s="190"/>
      <c r="CS60" s="190"/>
      <c r="CT60" s="190"/>
      <c r="CU60" s="190"/>
      <c r="CV60" s="190"/>
      <c r="CW60" s="190"/>
      <c r="CX60" s="190"/>
      <c r="CY60" s="190"/>
      <c r="CZ60" s="190"/>
      <c r="DA60" s="190"/>
    </row>
    <row r="61" spans="1:105" x14ac:dyDescent="0.25">
      <c r="A61" s="6"/>
      <c r="CN61" s="190"/>
      <c r="CO61" s="190"/>
      <c r="CP61" s="190"/>
      <c r="CQ61" s="190"/>
      <c r="CR61" s="190"/>
      <c r="CS61" s="190"/>
      <c r="CT61" s="190"/>
      <c r="CU61" s="190"/>
      <c r="CV61" s="190"/>
      <c r="CW61" s="190"/>
      <c r="CX61" s="190"/>
      <c r="CY61" s="190"/>
      <c r="CZ61" s="190"/>
      <c r="DA61" s="190"/>
    </row>
    <row r="62" spans="1:105" x14ac:dyDescent="0.25">
      <c r="A62" s="6"/>
      <c r="CN62" s="190"/>
      <c r="CO62" s="190"/>
      <c r="CP62" s="190"/>
      <c r="CQ62" s="190"/>
      <c r="CR62" s="190"/>
      <c r="CS62" s="190"/>
      <c r="CT62" s="190"/>
      <c r="CU62" s="190"/>
      <c r="CV62" s="190"/>
      <c r="CW62" s="190"/>
      <c r="CX62" s="190"/>
      <c r="CY62" s="190"/>
      <c r="CZ62" s="190"/>
      <c r="DA62" s="190"/>
    </row>
    <row r="63" spans="1:105" x14ac:dyDescent="0.25">
      <c r="A63" s="6"/>
      <c r="CN63" s="190"/>
      <c r="CO63" s="190"/>
      <c r="CP63" s="190"/>
      <c r="CQ63" s="190"/>
      <c r="CR63" s="190"/>
      <c r="CS63" s="190"/>
      <c r="CT63" s="190"/>
      <c r="CU63" s="190"/>
      <c r="CV63" s="190"/>
      <c r="CW63" s="190"/>
      <c r="CX63" s="190"/>
      <c r="CY63" s="190"/>
      <c r="CZ63" s="190"/>
      <c r="DA63" s="190"/>
    </row>
    <row r="64" spans="1:105" x14ac:dyDescent="0.25">
      <c r="A64" s="110" t="s">
        <v>167</v>
      </c>
      <c r="CN64" s="190"/>
      <c r="CO64" s="190"/>
      <c r="CP64" s="190"/>
      <c r="CQ64" s="190"/>
      <c r="CR64" s="190"/>
      <c r="CS64" s="190"/>
      <c r="CT64" s="190"/>
      <c r="CU64" s="190"/>
      <c r="CV64" s="190"/>
      <c r="CW64" s="190"/>
      <c r="CX64" s="190"/>
      <c r="CY64" s="190"/>
      <c r="CZ64" s="190"/>
      <c r="DA64" s="190"/>
    </row>
    <row r="65" spans="1:105" x14ac:dyDescent="0.25">
      <c r="A65" s="6"/>
      <c r="CN65" s="190"/>
      <c r="CO65" s="190"/>
      <c r="CP65" s="190"/>
      <c r="CQ65" s="190"/>
      <c r="CR65" s="190"/>
      <c r="CS65" s="190"/>
      <c r="CT65" s="190"/>
      <c r="CU65" s="190"/>
      <c r="CV65" s="190"/>
      <c r="CW65" s="190"/>
      <c r="CX65" s="190"/>
      <c r="CY65" s="190"/>
      <c r="CZ65" s="190"/>
      <c r="DA65" s="190"/>
    </row>
    <row r="66" spans="1:105" x14ac:dyDescent="0.25">
      <c r="A66" s="6"/>
      <c r="CN66" s="190"/>
      <c r="CO66" s="190"/>
      <c r="CP66" s="190"/>
      <c r="CQ66" s="190"/>
      <c r="CR66" s="190"/>
      <c r="CS66" s="190"/>
      <c r="CT66" s="190"/>
      <c r="CU66" s="190"/>
      <c r="CV66" s="190"/>
      <c r="CW66" s="190"/>
      <c r="CX66" s="190"/>
      <c r="CY66" s="190"/>
      <c r="CZ66" s="190"/>
      <c r="DA66" s="190"/>
    </row>
    <row r="67" spans="1:105" x14ac:dyDescent="0.25">
      <c r="A67" s="6"/>
      <c r="CN67" s="190"/>
      <c r="CO67" s="190"/>
      <c r="CP67" s="190"/>
      <c r="CQ67" s="190"/>
      <c r="CR67" s="190"/>
      <c r="CS67" s="190"/>
      <c r="CT67" s="190"/>
      <c r="CU67" s="190"/>
      <c r="CV67" s="190"/>
      <c r="CW67" s="190"/>
      <c r="CX67" s="190"/>
      <c r="CY67" s="190"/>
      <c r="CZ67" s="190"/>
      <c r="DA67" s="190"/>
    </row>
    <row r="68" spans="1:105" x14ac:dyDescent="0.25">
      <c r="A68" s="6"/>
      <c r="CN68" s="190"/>
      <c r="CO68" s="190"/>
      <c r="CP68" s="190"/>
      <c r="CQ68" s="190"/>
      <c r="CR68" s="190"/>
      <c r="CS68" s="190"/>
      <c r="CT68" s="190"/>
      <c r="CU68" s="190"/>
      <c r="CV68" s="190"/>
      <c r="CW68" s="190"/>
      <c r="CX68" s="190"/>
      <c r="CY68" s="190"/>
      <c r="CZ68" s="190"/>
      <c r="DA68" s="190"/>
    </row>
    <row r="69" spans="1:105" x14ac:dyDescent="0.25">
      <c r="A69" s="6"/>
      <c r="CN69" s="190"/>
      <c r="CO69" s="190"/>
      <c r="CP69" s="190"/>
      <c r="CQ69" s="190"/>
      <c r="CR69" s="190"/>
      <c r="CS69" s="190"/>
      <c r="CT69" s="190"/>
      <c r="CU69" s="190"/>
      <c r="CV69" s="190"/>
      <c r="CW69" s="190"/>
      <c r="CX69" s="190"/>
      <c r="CY69" s="190"/>
      <c r="CZ69" s="190"/>
      <c r="DA69" s="190"/>
    </row>
    <row r="70" spans="1:105" x14ac:dyDescent="0.25">
      <c r="A70" s="6"/>
      <c r="CN70" s="190"/>
      <c r="CO70" s="190"/>
      <c r="CP70" s="190"/>
      <c r="CQ70" s="190"/>
      <c r="CR70" s="190"/>
      <c r="CS70" s="190"/>
      <c r="CT70" s="190"/>
      <c r="CU70" s="190"/>
      <c r="CV70" s="190"/>
      <c r="CW70" s="190"/>
      <c r="CX70" s="190"/>
      <c r="CY70" s="190"/>
      <c r="CZ70" s="190"/>
      <c r="DA70" s="190"/>
    </row>
    <row r="71" spans="1:105" x14ac:dyDescent="0.25">
      <c r="A71" s="6"/>
      <c r="CN71" s="190"/>
      <c r="CO71" s="190"/>
      <c r="CP71" s="190"/>
      <c r="CQ71" s="190"/>
      <c r="CR71" s="190"/>
      <c r="CS71" s="190"/>
      <c r="CT71" s="190"/>
      <c r="CU71" s="190"/>
      <c r="CV71" s="190"/>
      <c r="CW71" s="190"/>
      <c r="CX71" s="190"/>
      <c r="CY71" s="190"/>
      <c r="CZ71" s="190"/>
      <c r="DA71" s="190"/>
    </row>
    <row r="72" spans="1:105" x14ac:dyDescent="0.25">
      <c r="A72" s="6"/>
      <c r="CN72" s="190"/>
      <c r="CO72" s="190"/>
      <c r="CP72" s="190"/>
      <c r="CQ72" s="190"/>
      <c r="CR72" s="190"/>
      <c r="CS72" s="190"/>
      <c r="CT72" s="190"/>
      <c r="CU72" s="190"/>
      <c r="CV72" s="190"/>
      <c r="CW72" s="190"/>
      <c r="CX72" s="190"/>
      <c r="CY72" s="190"/>
      <c r="CZ72" s="190"/>
      <c r="DA72" s="190"/>
    </row>
    <row r="73" spans="1:105" x14ac:dyDescent="0.25">
      <c r="A73" s="6"/>
      <c r="CN73" s="190"/>
      <c r="CO73" s="190"/>
      <c r="CP73" s="190"/>
      <c r="CQ73" s="190"/>
      <c r="CR73" s="190"/>
      <c r="CS73" s="190"/>
      <c r="CT73" s="190"/>
      <c r="CU73" s="190"/>
      <c r="CV73" s="190"/>
      <c r="CW73" s="190"/>
      <c r="CX73" s="190"/>
      <c r="CY73" s="190"/>
      <c r="CZ73" s="190"/>
      <c r="DA73" s="190"/>
    </row>
    <row r="74" spans="1:105" x14ac:dyDescent="0.25">
      <c r="A74" s="6"/>
      <c r="CN74" s="190"/>
      <c r="CO74" s="190"/>
      <c r="CP74" s="190"/>
      <c r="CQ74" s="190"/>
      <c r="CR74" s="190"/>
      <c r="CS74" s="190"/>
      <c r="CT74" s="190"/>
      <c r="CU74" s="190"/>
      <c r="CV74" s="190"/>
      <c r="CW74" s="190"/>
      <c r="CX74" s="190"/>
      <c r="CY74" s="190"/>
      <c r="CZ74" s="190"/>
      <c r="DA74" s="190"/>
    </row>
    <row r="75" spans="1:105" x14ac:dyDescent="0.25">
      <c r="A75" s="6"/>
      <c r="CN75" s="190"/>
      <c r="CO75" s="190"/>
      <c r="CP75" s="190"/>
      <c r="CQ75" s="190"/>
      <c r="CR75" s="190"/>
      <c r="CS75" s="190"/>
      <c r="CT75" s="190"/>
      <c r="CU75" s="190"/>
      <c r="CV75" s="190"/>
      <c r="CW75" s="190"/>
      <c r="CX75" s="190"/>
      <c r="CY75" s="190"/>
      <c r="CZ75" s="190"/>
      <c r="DA75" s="190"/>
    </row>
    <row r="76" spans="1:105" x14ac:dyDescent="0.25">
      <c r="A76" s="6"/>
      <c r="CN76" s="190"/>
      <c r="CO76" s="190"/>
      <c r="CP76" s="190"/>
      <c r="CQ76" s="190"/>
      <c r="CR76" s="190"/>
      <c r="CS76" s="190"/>
      <c r="CT76" s="190"/>
      <c r="CU76" s="190"/>
      <c r="CV76" s="190"/>
      <c r="CW76" s="190"/>
      <c r="CX76" s="190"/>
      <c r="CY76" s="190"/>
      <c r="CZ76" s="190"/>
      <c r="DA76" s="190"/>
    </row>
    <row r="77" spans="1:105" x14ac:dyDescent="0.25">
      <c r="A77" s="6"/>
      <c r="CN77" s="190"/>
      <c r="CO77" s="190"/>
      <c r="CP77" s="190"/>
      <c r="CQ77" s="190"/>
      <c r="CR77" s="190"/>
      <c r="CS77" s="190"/>
      <c r="CT77" s="190"/>
      <c r="CU77" s="190"/>
      <c r="CV77" s="190"/>
      <c r="CW77" s="190"/>
      <c r="CX77" s="190"/>
      <c r="CY77" s="190"/>
      <c r="CZ77" s="190"/>
      <c r="DA77" s="190"/>
    </row>
    <row r="78" spans="1:105" x14ac:dyDescent="0.25">
      <c r="A78" s="110" t="s">
        <v>306</v>
      </c>
      <c r="CN78" s="190"/>
      <c r="CO78" s="190"/>
      <c r="CP78" s="190"/>
      <c r="CQ78" s="190"/>
      <c r="CR78" s="190"/>
      <c r="CS78" s="190"/>
      <c r="CT78" s="190"/>
      <c r="CU78" s="190"/>
      <c r="CV78" s="190"/>
      <c r="CW78" s="190"/>
      <c r="CX78" s="190"/>
      <c r="CY78" s="190"/>
      <c r="CZ78" s="190"/>
      <c r="DA78" s="190"/>
    </row>
    <row r="79" spans="1:105" x14ac:dyDescent="0.25">
      <c r="A79" s="6"/>
      <c r="CN79" s="190"/>
      <c r="CO79" s="190"/>
      <c r="CP79" s="190"/>
      <c r="CQ79" s="190"/>
      <c r="CR79" s="190"/>
      <c r="CS79" s="190"/>
      <c r="CT79" s="190"/>
      <c r="CU79" s="190"/>
      <c r="CV79" s="190"/>
      <c r="CW79" s="190"/>
      <c r="CX79" s="190"/>
      <c r="CY79" s="190"/>
      <c r="CZ79" s="190"/>
      <c r="DA79" s="190"/>
    </row>
    <row r="80" spans="1:105" x14ac:dyDescent="0.25">
      <c r="A80" s="6"/>
      <c r="CN80" s="190"/>
      <c r="CO80" s="190"/>
      <c r="CP80" s="190"/>
      <c r="CQ80" s="190"/>
      <c r="CR80" s="190"/>
      <c r="CS80" s="190"/>
      <c r="CT80" s="190"/>
      <c r="CU80" s="190"/>
      <c r="CV80" s="190"/>
      <c r="CW80" s="190"/>
      <c r="CX80" s="190"/>
      <c r="CY80" s="190"/>
      <c r="CZ80" s="190"/>
      <c r="DA80" s="190"/>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110" t="s">
        <v>248</v>
      </c>
    </row>
    <row r="108" spans="3:3" x14ac:dyDescent="0.25">
      <c r="C108" s="190" t="s">
        <v>302</v>
      </c>
    </row>
    <row r="114" spans="1:54" s="189" customFormat="1" ht="30" customHeight="1" x14ac:dyDescent="0.2">
      <c r="A114" s="185" t="s">
        <v>210</v>
      </c>
      <c r="B114" s="186"/>
      <c r="C114" s="187"/>
      <c r="D114" s="187"/>
      <c r="E114" s="188"/>
      <c r="F114" s="188"/>
      <c r="G114" s="188"/>
      <c r="H114" s="188"/>
      <c r="I114" s="188"/>
      <c r="J114" s="188"/>
      <c r="K114" s="188"/>
      <c r="Q114" s="187"/>
      <c r="R114" s="187"/>
      <c r="S114" s="187"/>
      <c r="T114" s="187"/>
      <c r="U114" s="187"/>
      <c r="V114" s="187"/>
      <c r="W114" s="187"/>
      <c r="X114" s="187"/>
      <c r="Y114" s="187"/>
      <c r="Z114" s="187"/>
      <c r="AA114" s="188"/>
      <c r="AB114" s="188"/>
      <c r="AD114" s="188"/>
      <c r="AE114" s="188"/>
      <c r="AF114" s="188"/>
      <c r="AG114" s="188"/>
      <c r="AH114" s="188"/>
      <c r="AI114" s="188"/>
      <c r="AJ114" s="188"/>
      <c r="AK114" s="188"/>
      <c r="AL114" s="188"/>
      <c r="AM114" s="188"/>
      <c r="AN114" s="188"/>
      <c r="AO114" s="188"/>
      <c r="AQ114" s="188"/>
      <c r="AR114" s="188"/>
      <c r="AS114" s="188"/>
      <c r="AT114" s="188"/>
      <c r="AU114" s="188"/>
      <c r="AV114" s="188"/>
      <c r="AW114" s="188"/>
      <c r="AX114" s="188"/>
      <c r="AY114" s="188"/>
      <c r="AZ114" s="188"/>
      <c r="BA114" s="188"/>
      <c r="BB114" s="188"/>
    </row>
    <row r="115" spans="1:54" s="184" customFormat="1" ht="21" x14ac:dyDescent="0.25">
      <c r="A115" s="182" t="str">
        <f>HYPERLINK("https://roblab.ru/franchise/","Перейти на сайт ")</f>
        <v xml:space="preserve">Перейти на сайт </v>
      </c>
      <c r="B115" s="183"/>
      <c r="C115" s="183"/>
      <c r="D115" s="183"/>
      <c r="E115" s="183"/>
      <c r="F115" s="183"/>
      <c r="G115" s="183"/>
      <c r="H115" s="183"/>
      <c r="I115" s="183"/>
      <c r="J115" s="183"/>
      <c r="K115" s="183"/>
      <c r="Q115" s="183"/>
      <c r="R115" s="183"/>
      <c r="S115" s="183"/>
      <c r="T115" s="183"/>
      <c r="U115" s="183"/>
      <c r="V115" s="183"/>
      <c r="W115" s="183"/>
      <c r="X115" s="183"/>
      <c r="Y115" s="183"/>
      <c r="Z115" s="183"/>
      <c r="AA115" s="183"/>
      <c r="AB115" s="183"/>
      <c r="AD115" s="183"/>
      <c r="AE115" s="183"/>
      <c r="AF115" s="183"/>
      <c r="AG115" s="183"/>
      <c r="AH115" s="183"/>
      <c r="AI115" s="183"/>
      <c r="AJ115" s="183"/>
      <c r="AK115" s="183"/>
      <c r="AL115" s="183"/>
      <c r="AM115" s="183"/>
      <c r="AN115" s="183"/>
      <c r="AO115" s="183"/>
      <c r="AQ115" s="183"/>
      <c r="AR115" s="183"/>
      <c r="AS115" s="183"/>
      <c r="AT115" s="183"/>
      <c r="AU115" s="183"/>
      <c r="AV115" s="183"/>
      <c r="AW115" s="183"/>
      <c r="AX115" s="183"/>
      <c r="AY115" s="183"/>
      <c r="AZ115" s="183"/>
      <c r="BA115" s="183"/>
      <c r="BB115" s="183"/>
    </row>
  </sheetData>
  <sheetProtection algorithmName="SHA-512" hashValue="r3QA7pQPgwrAPhQhZqYLFh5P5JtSme4zck93ZMnDMoyGxHOHZ2PLkk3unzT92K3Oo/PE1ADkwYS7cwUiZ5v4eQ==" saltValue="9VLOcd0FDpW85dBd+qk+gQ==" spinCount="100000" sheet="1" objects="1" scenarios="1" formatCells="0"/>
  <mergeCells count="1">
    <mergeCell ref="M5:O5"/>
  </mergeCells>
  <phoneticPr fontId="28" type="noConversion"/>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5" tint="-0.249977111117893"/>
  </sheetPr>
  <dimension ref="A1"/>
  <sheetViews>
    <sheetView workbookViewId="0">
      <selection activeCell="A2" sqref="A2"/>
    </sheetView>
  </sheetViews>
  <sheetFormatPr defaultRowHeight="15" x14ac:dyDescent="0.25"/>
  <sheetData>
    <row r="1" spans="1:1" x14ac:dyDescent="0.25">
      <c r="A1" t="s">
        <v>186</v>
      </c>
    </row>
  </sheetData>
  <sheetProtection algorithmName="SHA-512" hashValue="4WA4wiWCguL3yx7i7t4FO/Fhx6MURH7VnYUo1pOsa5QjBajGRo0hCwpSxr2Q3USGDbsXoGUpNSyyIabHzbXNwg==" saltValue="ZI6BNIg3cYR8h+szJvieeA==" spinCount="100000" sheet="1" objects="1" scenarios="1" formatCells="0"/>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BA127"/>
  <sheetViews>
    <sheetView topLeftCell="G1" workbookViewId="0">
      <selection activeCell="M18" sqref="M18"/>
    </sheetView>
  </sheetViews>
  <sheetFormatPr defaultRowHeight="15" x14ac:dyDescent="0.25"/>
  <cols>
    <col min="1" max="1" width="22.85546875" style="7" customWidth="1"/>
    <col min="2" max="2" width="9.140625" style="7"/>
    <col min="3" max="3" width="14.5703125" style="7" bestFit="1" customWidth="1"/>
    <col min="4" max="4" width="13.140625" style="7" bestFit="1" customWidth="1"/>
    <col min="5" max="5" width="14.7109375" style="7" customWidth="1"/>
    <col min="6" max="6" width="15.5703125" style="7" customWidth="1"/>
    <col min="7" max="7" width="15.28515625" style="7" customWidth="1"/>
    <col min="8" max="8" width="12.140625" style="7" customWidth="1"/>
    <col min="9" max="10" width="15.28515625" style="7" customWidth="1"/>
    <col min="11" max="11" width="13.42578125" style="7" bestFit="1" customWidth="1"/>
    <col min="12" max="14" width="11.7109375" style="7" customWidth="1"/>
    <col min="15" max="43" width="13.28515625" style="7" customWidth="1"/>
    <col min="44" max="16384" width="9.140625" style="7"/>
  </cols>
  <sheetData>
    <row r="1" spans="1:53" x14ac:dyDescent="0.25">
      <c r="A1" s="110" t="s">
        <v>21</v>
      </c>
      <c r="B1" s="110" t="s">
        <v>22</v>
      </c>
      <c r="C1" s="110">
        <v>0</v>
      </c>
      <c r="D1" s="110"/>
      <c r="E1" s="7" t="s">
        <v>44</v>
      </c>
      <c r="F1" s="110" t="s">
        <v>50</v>
      </c>
      <c r="G1" s="110" t="s">
        <v>24</v>
      </c>
      <c r="H1" s="110" t="s">
        <v>70</v>
      </c>
      <c r="I1" s="110" t="s">
        <v>71</v>
      </c>
      <c r="J1" s="110" t="s">
        <v>47</v>
      </c>
      <c r="K1" s="110" t="s">
        <v>0</v>
      </c>
      <c r="L1" s="110" t="s">
        <v>176</v>
      </c>
      <c r="M1" s="110" t="s">
        <v>73</v>
      </c>
      <c r="N1" s="110" t="s">
        <v>75</v>
      </c>
      <c r="O1" s="110" t="s">
        <v>76</v>
      </c>
      <c r="P1" s="110" t="s">
        <v>77</v>
      </c>
      <c r="Q1" s="110" t="s">
        <v>90</v>
      </c>
      <c r="R1" s="110" t="s">
        <v>103</v>
      </c>
      <c r="S1" s="110" t="s">
        <v>99</v>
      </c>
      <c r="T1" s="110" t="s">
        <v>114</v>
      </c>
      <c r="U1" s="110" t="s">
        <v>126</v>
      </c>
      <c r="V1" s="110" t="s">
        <v>127</v>
      </c>
      <c r="W1" s="110" t="s">
        <v>134</v>
      </c>
      <c r="X1" s="110" t="s">
        <v>135</v>
      </c>
      <c r="Y1" s="110" t="s">
        <v>260</v>
      </c>
      <c r="AC1" s="110" t="s">
        <v>129</v>
      </c>
      <c r="AD1" s="110" t="s">
        <v>130</v>
      </c>
      <c r="AE1" s="110" t="s">
        <v>131</v>
      </c>
      <c r="AF1" s="110" t="s">
        <v>51</v>
      </c>
      <c r="AG1" s="110" t="s">
        <v>53</v>
      </c>
      <c r="AH1" s="110" t="s">
        <v>54</v>
      </c>
      <c r="AI1" s="110" t="s">
        <v>132</v>
      </c>
      <c r="AQ1" s="110" t="s">
        <v>52</v>
      </c>
      <c r="AR1" s="7" t="s">
        <v>140</v>
      </c>
      <c r="AS1" s="7" t="s">
        <v>146</v>
      </c>
      <c r="AT1" s="7" t="s">
        <v>147</v>
      </c>
      <c r="AU1" s="7" t="s">
        <v>141</v>
      </c>
      <c r="AV1" s="7" t="s">
        <v>148</v>
      </c>
      <c r="AW1" s="7" t="s">
        <v>144</v>
      </c>
      <c r="AX1" s="7" t="s">
        <v>143</v>
      </c>
      <c r="AY1" s="7" t="s">
        <v>145</v>
      </c>
      <c r="AZ1" s="7" t="s">
        <v>142</v>
      </c>
      <c r="BA1" s="7" t="s">
        <v>162</v>
      </c>
    </row>
    <row r="2" spans="1:53" x14ac:dyDescent="0.25">
      <c r="A2" s="7">
        <v>1</v>
      </c>
      <c r="B2" s="7" t="s">
        <v>12</v>
      </c>
      <c r="C2" s="7">
        <f>A2</f>
        <v>1</v>
      </c>
      <c r="E2" s="7" t="s">
        <v>128</v>
      </c>
      <c r="G2" s="7" t="str">
        <f>$A$23</f>
        <v>Сразу</v>
      </c>
      <c r="H2" s="111">
        <v>9.9999999999999995E-7</v>
      </c>
      <c r="I2" s="111">
        <v>9.9999999999999995E-7</v>
      </c>
      <c r="J2" s="111">
        <v>9.9999999999999995E-7</v>
      </c>
      <c r="K2" s="111">
        <v>9.9999999999999995E-7</v>
      </c>
      <c r="L2" s="111">
        <v>9.9999999999999995E-7</v>
      </c>
      <c r="M2" s="111">
        <v>9.9999999999999995E-7</v>
      </c>
      <c r="N2" s="111">
        <v>9.9999999999999995E-7</v>
      </c>
      <c r="O2" s="111">
        <v>9.9999999999999995E-7</v>
      </c>
      <c r="P2" s="111">
        <v>9.9999999999999995E-7</v>
      </c>
      <c r="Q2" s="111">
        <v>9.9999999999999995E-7</v>
      </c>
      <c r="R2" s="111">
        <v>9.9999999999999995E-7</v>
      </c>
      <c r="S2" s="111">
        <v>9.9999999999999995E-7</v>
      </c>
      <c r="T2" s="7" t="s">
        <v>116</v>
      </c>
      <c r="U2" s="7" t="s">
        <v>45</v>
      </c>
      <c r="V2" s="7" t="s">
        <v>45</v>
      </c>
      <c r="W2" s="111">
        <v>9.9999999999999995E-7</v>
      </c>
      <c r="X2" s="111">
        <v>9.9999999999999995E-7</v>
      </c>
      <c r="Y2" s="111">
        <v>9.9999999999999995E-7</v>
      </c>
      <c r="AD2" s="111">
        <v>9.9999999999999995E-7</v>
      </c>
      <c r="AE2" s="111">
        <v>9.9999999999999995E-7</v>
      </c>
      <c r="AF2" s="111">
        <v>9.9999999999999995E-7</v>
      </c>
      <c r="AG2" s="111">
        <v>9.9999999999999995E-7</v>
      </c>
      <c r="AH2" s="111">
        <v>9.9999999999999995E-7</v>
      </c>
      <c r="AI2" s="111">
        <v>9.9999999999999995E-7</v>
      </c>
      <c r="AR2" s="111">
        <v>9.9999999999999995E-7</v>
      </c>
      <c r="AS2" s="111">
        <v>9.9999999999999995E-7</v>
      </c>
      <c r="AT2" s="111">
        <v>9.9999999999999995E-7</v>
      </c>
      <c r="AU2" s="111">
        <v>9.9999999999999995E-7</v>
      </c>
      <c r="AV2" s="111">
        <v>9.9999999999999995E-7</v>
      </c>
      <c r="AW2" s="111">
        <v>9.9999999999999995E-7</v>
      </c>
      <c r="AX2" s="111">
        <v>9.9999999999999995E-7</v>
      </c>
      <c r="AY2" s="111">
        <v>9.9999999999999995E-7</v>
      </c>
      <c r="AZ2" s="111">
        <v>9.9999999999999995E-7</v>
      </c>
      <c r="BA2" s="111">
        <v>9.9999999999999995E-7</v>
      </c>
    </row>
    <row r="3" spans="1:53" x14ac:dyDescent="0.25">
      <c r="A3" s="7">
        <v>2</v>
      </c>
      <c r="B3" s="7" t="s">
        <v>13</v>
      </c>
      <c r="C3" s="7">
        <f t="shared" ref="C3:C13" si="0">A3</f>
        <v>2</v>
      </c>
      <c r="E3" s="7" t="s">
        <v>45</v>
      </c>
      <c r="G3" s="7" t="str">
        <f>$A$23</f>
        <v>Сразу</v>
      </c>
      <c r="H3" s="111">
        <v>9.9999999999999995E-7</v>
      </c>
      <c r="I3" s="111">
        <v>9.9999999999999995E-7</v>
      </c>
      <c r="J3" s="111">
        <v>9.9999999999999995E-7</v>
      </c>
      <c r="K3" s="111">
        <v>9.9999999999999995E-7</v>
      </c>
      <c r="L3" s="111">
        <v>9.9999999999999995E-7</v>
      </c>
      <c r="M3" s="111">
        <v>9.9999999999999995E-7</v>
      </c>
      <c r="N3" s="111">
        <v>9.9999999999999995E-7</v>
      </c>
      <c r="O3" s="111">
        <v>9.9999999999999995E-7</v>
      </c>
      <c r="P3" s="111">
        <v>9.9999999999999995E-7</v>
      </c>
      <c r="Q3" s="111">
        <v>9.9999999999999995E-7</v>
      </c>
      <c r="R3" s="111">
        <v>9.9999999999999995E-7</v>
      </c>
      <c r="S3" s="111">
        <v>9.9999999999999995E-7</v>
      </c>
      <c r="T3" s="7" t="s">
        <v>116</v>
      </c>
      <c r="U3" s="7" t="s">
        <v>45</v>
      </c>
      <c r="V3" s="7" t="s">
        <v>45</v>
      </c>
      <c r="W3" s="111">
        <v>9.9999999999999995E-7</v>
      </c>
      <c r="X3" s="111">
        <v>9.9999999999999995E-7</v>
      </c>
      <c r="Y3" s="111">
        <v>9.9999999999999995E-7</v>
      </c>
      <c r="AC3" s="7" t="s">
        <v>45</v>
      </c>
      <c r="AD3" s="111">
        <v>9.9999999999999995E-7</v>
      </c>
      <c r="AE3" s="111">
        <v>9.9999999999999995E-7</v>
      </c>
      <c r="AF3" s="111">
        <v>9.9999999999999995E-7</v>
      </c>
      <c r="AG3" s="111">
        <v>9.9999999999999995E-7</v>
      </c>
      <c r="AH3" s="111">
        <v>9.9999999999999995E-7</v>
      </c>
      <c r="AI3" s="111">
        <v>9.9999999999999995E-7</v>
      </c>
      <c r="AQ3" s="7" t="s">
        <v>45</v>
      </c>
      <c r="AR3" s="111">
        <v>9.9999999999999995E-7</v>
      </c>
      <c r="AS3" s="111">
        <v>9.9999999999999995E-7</v>
      </c>
      <c r="AT3" s="111">
        <v>9.9999999999999995E-7</v>
      </c>
      <c r="AU3" s="111">
        <v>9.9999999999999995E-7</v>
      </c>
      <c r="AV3" s="111">
        <v>9.9999999999999995E-7</v>
      </c>
      <c r="AW3" s="111">
        <v>9.9999999999999995E-7</v>
      </c>
      <c r="AX3" s="111">
        <v>9.9999999999999995E-7</v>
      </c>
      <c r="AY3" s="111">
        <v>9.9999999999999995E-7</v>
      </c>
      <c r="AZ3" s="111">
        <v>9.9999999999999995E-7</v>
      </c>
      <c r="BA3" s="111">
        <v>9.9999999999999995E-7</v>
      </c>
    </row>
    <row r="4" spans="1:53" x14ac:dyDescent="0.25">
      <c r="A4" s="7">
        <v>3</v>
      </c>
      <c r="B4" s="7" t="s">
        <v>14</v>
      </c>
      <c r="C4" s="7">
        <f t="shared" si="0"/>
        <v>3</v>
      </c>
      <c r="E4" s="7" t="s">
        <v>41</v>
      </c>
      <c r="F4" s="7" t="s">
        <v>19</v>
      </c>
      <c r="G4" s="7" t="str">
        <f>$A$25</f>
        <v>Постепенно</v>
      </c>
      <c r="H4" s="111">
        <v>2200</v>
      </c>
      <c r="I4" s="105">
        <v>6</v>
      </c>
      <c r="J4" s="105">
        <v>12</v>
      </c>
      <c r="K4" s="111">
        <v>18000</v>
      </c>
      <c r="L4" s="111">
        <v>1000</v>
      </c>
      <c r="M4" s="111">
        <v>9.9999999999999995E-7</v>
      </c>
      <c r="N4" s="111">
        <v>30000</v>
      </c>
      <c r="O4" s="111">
        <v>700</v>
      </c>
      <c r="P4" s="111">
        <v>9.9999999999999995E-7</v>
      </c>
      <c r="Q4" s="7" t="s">
        <v>92</v>
      </c>
      <c r="R4" s="111">
        <v>9.9999999999999995E-7</v>
      </c>
      <c r="S4" s="111">
        <v>300</v>
      </c>
      <c r="T4" s="7" t="s">
        <v>116</v>
      </c>
      <c r="U4" s="7" t="s">
        <v>45</v>
      </c>
      <c r="V4" s="7" t="s">
        <v>45</v>
      </c>
      <c r="W4" s="7">
        <v>600</v>
      </c>
      <c r="X4" s="111">
        <v>9.9999999999999995E-7</v>
      </c>
      <c r="Y4" s="7">
        <v>1500</v>
      </c>
      <c r="AC4" s="7" t="s">
        <v>41</v>
      </c>
      <c r="AD4" s="7">
        <v>6</v>
      </c>
      <c r="AE4" s="7">
        <v>500</v>
      </c>
      <c r="AF4" s="7">
        <v>4</v>
      </c>
      <c r="AG4" s="7">
        <v>40</v>
      </c>
      <c r="AH4" s="7">
        <v>1000</v>
      </c>
      <c r="AI4" s="111">
        <v>9.9999999999999995E-7</v>
      </c>
      <c r="AQ4" s="7" t="s">
        <v>41</v>
      </c>
      <c r="AR4" s="7">
        <v>10000</v>
      </c>
      <c r="AS4" s="7">
        <v>5</v>
      </c>
      <c r="AT4" s="7">
        <v>2</v>
      </c>
      <c r="AU4" s="7">
        <v>260</v>
      </c>
      <c r="AV4" s="7">
        <v>5000</v>
      </c>
      <c r="AW4" s="7">
        <v>30000</v>
      </c>
      <c r="AX4" s="111">
        <v>9.9999999999999995E-7</v>
      </c>
      <c r="AY4" s="111">
        <v>9.9999999999999995E-7</v>
      </c>
      <c r="AZ4" s="7">
        <v>1000</v>
      </c>
      <c r="BA4" s="7">
        <v>1000</v>
      </c>
    </row>
    <row r="5" spans="1:53" x14ac:dyDescent="0.25">
      <c r="A5" s="7">
        <v>4</v>
      </c>
      <c r="B5" s="7" t="s">
        <v>15</v>
      </c>
      <c r="C5" s="7">
        <f t="shared" si="0"/>
        <v>4</v>
      </c>
      <c r="E5" s="7" t="s">
        <v>42</v>
      </c>
      <c r="F5" s="7" t="s">
        <v>19</v>
      </c>
      <c r="G5" s="7" t="str">
        <f>$A$24</f>
        <v>Активно</v>
      </c>
      <c r="H5" s="111">
        <v>3000</v>
      </c>
      <c r="I5" s="105">
        <v>8</v>
      </c>
      <c r="J5" s="105">
        <v>16</v>
      </c>
      <c r="K5" s="111">
        <v>25000</v>
      </c>
      <c r="L5" s="111">
        <v>2000</v>
      </c>
      <c r="M5" s="111">
        <v>1000</v>
      </c>
      <c r="N5" s="111">
        <v>50000</v>
      </c>
      <c r="O5" s="111">
        <v>1000</v>
      </c>
      <c r="P5" s="111">
        <v>9.9999999999999995E-7</v>
      </c>
      <c r="Q5" s="111">
        <v>30000</v>
      </c>
      <c r="R5" s="111">
        <v>50</v>
      </c>
      <c r="S5" s="111">
        <v>500</v>
      </c>
      <c r="T5" s="7" t="s">
        <v>115</v>
      </c>
      <c r="U5" s="111" t="s">
        <v>58</v>
      </c>
      <c r="V5" s="7" t="s">
        <v>45</v>
      </c>
      <c r="W5" s="7">
        <v>800</v>
      </c>
      <c r="X5" s="7">
        <v>0.95</v>
      </c>
      <c r="Y5" s="7">
        <v>4500</v>
      </c>
      <c r="AC5" s="7" t="s">
        <v>42</v>
      </c>
      <c r="AD5" s="7">
        <v>6</v>
      </c>
      <c r="AE5" s="7">
        <v>500</v>
      </c>
      <c r="AF5" s="7">
        <v>5</v>
      </c>
      <c r="AG5" s="7">
        <v>40</v>
      </c>
      <c r="AH5" s="7">
        <v>1000</v>
      </c>
      <c r="AI5" s="7">
        <v>500</v>
      </c>
      <c r="AQ5" s="7" t="s">
        <v>42</v>
      </c>
      <c r="AR5" s="7">
        <v>13000</v>
      </c>
      <c r="AS5" s="7">
        <v>7</v>
      </c>
      <c r="AT5" s="7">
        <v>3</v>
      </c>
      <c r="AU5" s="7">
        <v>300</v>
      </c>
      <c r="AV5" s="7">
        <v>7000</v>
      </c>
      <c r="AW5" s="7">
        <v>35000</v>
      </c>
      <c r="AX5" s="111">
        <v>9.9999999999999995E-7</v>
      </c>
      <c r="AY5" s="111">
        <v>9.9999999999999995E-7</v>
      </c>
      <c r="AZ5" s="7">
        <v>1500</v>
      </c>
      <c r="BA5" s="7">
        <v>3000</v>
      </c>
    </row>
    <row r="6" spans="1:53" x14ac:dyDescent="0.25">
      <c r="A6" s="7">
        <v>5</v>
      </c>
      <c r="B6" s="7" t="s">
        <v>16</v>
      </c>
      <c r="C6" s="7">
        <f t="shared" si="0"/>
        <v>5</v>
      </c>
      <c r="E6" s="7" t="s">
        <v>43</v>
      </c>
      <c r="F6" s="7" t="s">
        <v>19</v>
      </c>
      <c r="G6" s="7" t="str">
        <f>$A$23</f>
        <v>Сразу</v>
      </c>
      <c r="H6" s="111">
        <v>5000</v>
      </c>
      <c r="I6" s="105">
        <v>12</v>
      </c>
      <c r="J6" s="105">
        <v>20</v>
      </c>
      <c r="K6" s="111">
        <v>50000</v>
      </c>
      <c r="L6" s="111">
        <v>5000</v>
      </c>
      <c r="M6" s="111">
        <v>5000</v>
      </c>
      <c r="N6" s="111">
        <v>60000</v>
      </c>
      <c r="O6" s="111">
        <v>1500</v>
      </c>
      <c r="P6" s="111">
        <v>40000</v>
      </c>
      <c r="Q6" s="111">
        <v>30000</v>
      </c>
      <c r="R6" s="112">
        <v>100</v>
      </c>
      <c r="S6" s="111">
        <v>5600</v>
      </c>
      <c r="T6" s="7" t="s">
        <v>115</v>
      </c>
      <c r="U6" s="111" t="s">
        <v>58</v>
      </c>
      <c r="V6" s="111" t="s">
        <v>58</v>
      </c>
      <c r="W6" s="7">
        <v>1000</v>
      </c>
      <c r="X6" s="7">
        <v>0.95</v>
      </c>
      <c r="Y6" s="7">
        <v>9000</v>
      </c>
      <c r="AC6" s="7" t="s">
        <v>43</v>
      </c>
      <c r="AD6" s="7">
        <v>32</v>
      </c>
      <c r="AE6" s="7">
        <v>1000</v>
      </c>
      <c r="AF6" s="7">
        <v>9</v>
      </c>
      <c r="AG6" s="7">
        <v>300</v>
      </c>
      <c r="AH6" s="7">
        <v>1500</v>
      </c>
      <c r="AI6" s="7">
        <v>3000</v>
      </c>
      <c r="AQ6" s="7" t="s">
        <v>43</v>
      </c>
      <c r="AR6" s="7">
        <v>25000</v>
      </c>
      <c r="AS6" s="7">
        <v>9</v>
      </c>
      <c r="AT6" s="7">
        <v>4</v>
      </c>
      <c r="AU6" s="7">
        <v>400</v>
      </c>
      <c r="AV6" s="7">
        <v>12000</v>
      </c>
      <c r="AW6" s="7">
        <v>35000</v>
      </c>
      <c r="AX6" s="7">
        <v>30000</v>
      </c>
      <c r="AY6" s="7">
        <v>5000</v>
      </c>
      <c r="AZ6" s="7">
        <v>2000</v>
      </c>
      <c r="BA6" s="7">
        <v>10000</v>
      </c>
    </row>
    <row r="7" spans="1:53" x14ac:dyDescent="0.25">
      <c r="A7" s="7">
        <v>6</v>
      </c>
      <c r="B7" s="7" t="s">
        <v>17</v>
      </c>
      <c r="C7" s="7">
        <f t="shared" si="0"/>
        <v>6</v>
      </c>
      <c r="E7" s="7" t="s">
        <v>46</v>
      </c>
      <c r="F7" s="7" t="s">
        <v>19</v>
      </c>
      <c r="G7" s="7" t="str">
        <f>$A$23</f>
        <v>Сразу</v>
      </c>
      <c r="H7" s="111">
        <v>3500</v>
      </c>
      <c r="I7" s="105">
        <v>10</v>
      </c>
      <c r="J7" s="105">
        <v>19</v>
      </c>
      <c r="K7" s="111">
        <v>50000</v>
      </c>
      <c r="L7" s="111">
        <v>4000</v>
      </c>
      <c r="M7" s="111">
        <v>5000</v>
      </c>
      <c r="N7" s="111">
        <v>60000</v>
      </c>
      <c r="O7" s="111">
        <v>1100</v>
      </c>
      <c r="P7" s="111">
        <v>40000</v>
      </c>
      <c r="Q7" s="111">
        <v>30000</v>
      </c>
      <c r="R7" s="112">
        <v>100</v>
      </c>
      <c r="S7" s="111">
        <v>4600</v>
      </c>
      <c r="T7" s="7" t="s">
        <v>115</v>
      </c>
      <c r="U7" s="111" t="s">
        <v>58</v>
      </c>
      <c r="V7" s="111" t="s">
        <v>58</v>
      </c>
      <c r="W7" s="7">
        <v>1000</v>
      </c>
      <c r="X7" s="7">
        <v>0.95</v>
      </c>
      <c r="Y7" s="7">
        <v>13500</v>
      </c>
      <c r="AC7" s="7" t="s">
        <v>46</v>
      </c>
      <c r="AD7" s="7">
        <v>15</v>
      </c>
      <c r="AE7" s="7">
        <v>700</v>
      </c>
      <c r="AF7" s="7">
        <v>8</v>
      </c>
      <c r="AG7" s="7">
        <v>150</v>
      </c>
      <c r="AH7" s="7">
        <v>1200</v>
      </c>
      <c r="AI7" s="7">
        <v>2000</v>
      </c>
      <c r="AQ7" s="7" t="s">
        <v>46</v>
      </c>
      <c r="AR7" s="7">
        <v>19000</v>
      </c>
      <c r="AS7" s="7">
        <v>8</v>
      </c>
      <c r="AT7" s="7">
        <v>3</v>
      </c>
      <c r="AU7" s="7">
        <v>350</v>
      </c>
      <c r="AV7" s="7">
        <v>10000</v>
      </c>
      <c r="AW7" s="7">
        <v>30000</v>
      </c>
      <c r="AX7" s="7">
        <v>20000</v>
      </c>
      <c r="AY7" s="7">
        <v>5000</v>
      </c>
      <c r="AZ7" s="7">
        <v>2000</v>
      </c>
      <c r="BA7" s="7">
        <v>9000</v>
      </c>
    </row>
    <row r="8" spans="1:53" x14ac:dyDescent="0.25">
      <c r="A8" s="7">
        <v>7</v>
      </c>
      <c r="B8" s="7" t="s">
        <v>18</v>
      </c>
      <c r="C8" s="7">
        <f t="shared" si="0"/>
        <v>7</v>
      </c>
    </row>
    <row r="9" spans="1:53" x14ac:dyDescent="0.25">
      <c r="A9" s="7">
        <v>8</v>
      </c>
      <c r="B9" s="7" t="s">
        <v>19</v>
      </c>
      <c r="C9" s="7">
        <f t="shared" si="0"/>
        <v>8</v>
      </c>
    </row>
    <row r="10" spans="1:53" x14ac:dyDescent="0.25">
      <c r="A10" s="7">
        <v>9</v>
      </c>
      <c r="B10" s="7" t="s">
        <v>7</v>
      </c>
      <c r="C10" s="7">
        <f t="shared" si="0"/>
        <v>9</v>
      </c>
    </row>
    <row r="11" spans="1:53" x14ac:dyDescent="0.25">
      <c r="A11" s="7">
        <v>10</v>
      </c>
      <c r="B11" s="7" t="s">
        <v>9</v>
      </c>
      <c r="C11" s="7">
        <f t="shared" si="0"/>
        <v>10</v>
      </c>
      <c r="G11" s="111"/>
      <c r="J11" s="111"/>
    </row>
    <row r="12" spans="1:53" x14ac:dyDescent="0.25">
      <c r="A12" s="7">
        <v>11</v>
      </c>
      <c r="B12" s="7" t="s">
        <v>10</v>
      </c>
      <c r="C12" s="7">
        <f t="shared" si="0"/>
        <v>11</v>
      </c>
      <c r="G12" s="111"/>
      <c r="J12" s="111"/>
    </row>
    <row r="13" spans="1:53" x14ac:dyDescent="0.25">
      <c r="A13" s="7">
        <v>12</v>
      </c>
      <c r="B13" s="7" t="s">
        <v>11</v>
      </c>
      <c r="C13" s="7">
        <f t="shared" si="0"/>
        <v>12</v>
      </c>
      <c r="G13" s="111"/>
      <c r="J13" s="111"/>
    </row>
    <row r="14" spans="1:53" x14ac:dyDescent="0.25">
      <c r="A14" s="7">
        <v>13</v>
      </c>
      <c r="C14" s="7">
        <v>0</v>
      </c>
      <c r="G14" s="111"/>
      <c r="J14" s="111"/>
    </row>
    <row r="15" spans="1:53" x14ac:dyDescent="0.25">
      <c r="G15" s="110" t="s">
        <v>90</v>
      </c>
      <c r="I15" s="110" t="s">
        <v>59</v>
      </c>
      <c r="J15" s="111" t="s">
        <v>63</v>
      </c>
      <c r="K15" s="7" t="s">
        <v>65</v>
      </c>
      <c r="L15" s="7" t="s">
        <v>62</v>
      </c>
      <c r="M15" s="7" t="s">
        <v>64</v>
      </c>
      <c r="P15" s="110" t="s">
        <v>114</v>
      </c>
    </row>
    <row r="16" spans="1:53" x14ac:dyDescent="0.25">
      <c r="D16" s="7" t="s">
        <v>36</v>
      </c>
      <c r="E16" s="7" t="s">
        <v>37</v>
      </c>
      <c r="G16" s="7" t="s">
        <v>175</v>
      </c>
      <c r="H16" s="7">
        <v>6</v>
      </c>
      <c r="I16" s="7" t="s">
        <v>58</v>
      </c>
      <c r="J16" s="111" t="s">
        <v>253</v>
      </c>
      <c r="K16" s="111">
        <v>40000</v>
      </c>
      <c r="L16" s="111">
        <v>0</v>
      </c>
      <c r="M16" s="7" t="s">
        <v>274</v>
      </c>
      <c r="P16" s="7" t="s">
        <v>116</v>
      </c>
      <c r="R16" s="7" t="s">
        <v>240</v>
      </c>
      <c r="S16" s="7" t="s">
        <v>169</v>
      </c>
    </row>
    <row r="17" spans="1:45" x14ac:dyDescent="0.25">
      <c r="A17" s="7" t="s">
        <v>23</v>
      </c>
      <c r="C17" s="7">
        <f>IF(ISNUMBER(B17)=TRUE,B17,Вводные!$BG$7)</f>
        <v>8</v>
      </c>
      <c r="D17" s="7">
        <f>IF(AND(C17&gt;=5,C17&lt;=8),0,IF(C17&lt;5,C17+4, C17-8))</f>
        <v>0</v>
      </c>
      <c r="E17" s="7">
        <f>D17+1</f>
        <v>1</v>
      </c>
      <c r="G17" s="7" t="s">
        <v>93</v>
      </c>
      <c r="H17" s="7">
        <v>4</v>
      </c>
      <c r="I17" s="7" t="s">
        <v>45</v>
      </c>
      <c r="J17" s="111" t="s">
        <v>262</v>
      </c>
      <c r="K17" s="111">
        <v>150000</v>
      </c>
      <c r="L17" s="111">
        <v>5000</v>
      </c>
      <c r="M17" s="7" t="s">
        <v>273</v>
      </c>
      <c r="P17" s="7" t="s">
        <v>115</v>
      </c>
      <c r="S17" s="7" t="s">
        <v>170</v>
      </c>
    </row>
    <row r="18" spans="1:45" x14ac:dyDescent="0.25">
      <c r="G18" s="7" t="s">
        <v>94</v>
      </c>
      <c r="H18" s="7">
        <v>0</v>
      </c>
      <c r="J18" s="111" t="s">
        <v>252</v>
      </c>
      <c r="K18" s="111">
        <v>50000</v>
      </c>
      <c r="L18" s="111">
        <v>5000</v>
      </c>
      <c r="M18" s="7" t="s">
        <v>261</v>
      </c>
      <c r="P18" s="7" t="s">
        <v>117</v>
      </c>
      <c r="S18" s="7" t="s">
        <v>171</v>
      </c>
    </row>
    <row r="19" spans="1:45" x14ac:dyDescent="0.25">
      <c r="G19" s="7" t="s">
        <v>139</v>
      </c>
    </row>
    <row r="20" spans="1:45" x14ac:dyDescent="0.25">
      <c r="C20" s="7" t="s">
        <v>35</v>
      </c>
      <c r="D20" s="113" t="s">
        <v>3</v>
      </c>
      <c r="E20" s="114">
        <v>1</v>
      </c>
      <c r="F20" s="114">
        <v>1</v>
      </c>
      <c r="G20" s="114">
        <v>1</v>
      </c>
      <c r="H20" s="114">
        <v>1</v>
      </c>
      <c r="I20" s="114">
        <v>1</v>
      </c>
      <c r="J20" s="114">
        <v>1</v>
      </c>
      <c r="K20" s="114">
        <v>1</v>
      </c>
      <c r="L20" s="114">
        <v>1</v>
      </c>
      <c r="M20" s="114">
        <v>1</v>
      </c>
      <c r="N20" s="114">
        <v>1</v>
      </c>
      <c r="O20" s="114">
        <v>1</v>
      </c>
      <c r="P20" s="114">
        <v>1</v>
      </c>
      <c r="Q20" s="114">
        <v>1</v>
      </c>
      <c r="R20" s="115" t="s">
        <v>4</v>
      </c>
      <c r="S20" s="116">
        <v>1</v>
      </c>
      <c r="T20" s="116">
        <v>1</v>
      </c>
      <c r="U20" s="116">
        <v>1</v>
      </c>
      <c r="V20" s="116">
        <v>1</v>
      </c>
      <c r="W20" s="116">
        <v>1</v>
      </c>
      <c r="X20" s="116">
        <v>1</v>
      </c>
      <c r="Y20" s="116">
        <v>1</v>
      </c>
      <c r="Z20" s="116">
        <v>1</v>
      </c>
      <c r="AA20" s="116">
        <v>1</v>
      </c>
      <c r="AB20" s="116">
        <v>1</v>
      </c>
      <c r="AC20" s="116">
        <v>1</v>
      </c>
      <c r="AD20" s="116">
        <v>1</v>
      </c>
      <c r="AE20" s="117" t="s">
        <v>5</v>
      </c>
      <c r="AF20" s="118">
        <v>1</v>
      </c>
      <c r="AG20" s="118">
        <v>1</v>
      </c>
      <c r="AH20" s="118">
        <v>1</v>
      </c>
      <c r="AI20" s="118">
        <v>1</v>
      </c>
      <c r="AJ20" s="118">
        <v>1</v>
      </c>
      <c r="AK20" s="118">
        <v>1</v>
      </c>
      <c r="AL20" s="118">
        <v>1</v>
      </c>
      <c r="AM20" s="118">
        <v>1</v>
      </c>
      <c r="AN20" s="118">
        <v>1</v>
      </c>
      <c r="AO20" s="118">
        <v>1</v>
      </c>
      <c r="AP20" s="118">
        <v>1</v>
      </c>
      <c r="AQ20" s="118">
        <v>1</v>
      </c>
    </row>
    <row r="21" spans="1:45" x14ac:dyDescent="0.25">
      <c r="B21" s="7" t="s">
        <v>38</v>
      </c>
      <c r="D21" s="119" t="s">
        <v>20</v>
      </c>
      <c r="E21" s="120" t="s">
        <v>19</v>
      </c>
      <c r="F21" s="120" t="s">
        <v>7</v>
      </c>
      <c r="G21" s="121" t="s">
        <v>9</v>
      </c>
      <c r="H21" s="120" t="s">
        <v>10</v>
      </c>
      <c r="I21" s="121" t="s">
        <v>11</v>
      </c>
      <c r="J21" s="120" t="s">
        <v>12</v>
      </c>
      <c r="K21" s="121" t="s">
        <v>13</v>
      </c>
      <c r="L21" s="120" t="s">
        <v>14</v>
      </c>
      <c r="M21" s="121" t="s">
        <v>15</v>
      </c>
      <c r="N21" s="120" t="s">
        <v>16</v>
      </c>
      <c r="O21" s="121" t="s">
        <v>17</v>
      </c>
      <c r="P21" s="120" t="s">
        <v>18</v>
      </c>
      <c r="Q21" s="121" t="s">
        <v>19</v>
      </c>
      <c r="R21" s="122" t="s">
        <v>20</v>
      </c>
      <c r="S21" s="123" t="s">
        <v>7</v>
      </c>
      <c r="T21" s="124" t="s">
        <v>9</v>
      </c>
      <c r="U21" s="123" t="s">
        <v>10</v>
      </c>
      <c r="V21" s="124" t="s">
        <v>11</v>
      </c>
      <c r="W21" s="123" t="s">
        <v>12</v>
      </c>
      <c r="X21" s="124" t="s">
        <v>13</v>
      </c>
      <c r="Y21" s="123" t="s">
        <v>14</v>
      </c>
      <c r="Z21" s="124" t="s">
        <v>15</v>
      </c>
      <c r="AA21" s="123" t="s">
        <v>16</v>
      </c>
      <c r="AB21" s="124" t="s">
        <v>17</v>
      </c>
      <c r="AC21" s="123" t="s">
        <v>18</v>
      </c>
      <c r="AD21" s="124" t="s">
        <v>19</v>
      </c>
      <c r="AE21" s="125" t="s">
        <v>20</v>
      </c>
      <c r="AF21" s="126" t="s">
        <v>7</v>
      </c>
      <c r="AG21" s="127" t="s">
        <v>9</v>
      </c>
      <c r="AH21" s="126" t="s">
        <v>10</v>
      </c>
      <c r="AI21" s="127" t="s">
        <v>11</v>
      </c>
      <c r="AJ21" s="126" t="s">
        <v>12</v>
      </c>
      <c r="AK21" s="127" t="s">
        <v>13</v>
      </c>
      <c r="AL21" s="126" t="s">
        <v>14</v>
      </c>
      <c r="AM21" s="127" t="s">
        <v>15</v>
      </c>
      <c r="AN21" s="126" t="s">
        <v>16</v>
      </c>
      <c r="AO21" s="127" t="s">
        <v>17</v>
      </c>
      <c r="AP21" s="126" t="s">
        <v>18</v>
      </c>
      <c r="AQ21" s="127" t="s">
        <v>19</v>
      </c>
    </row>
    <row r="22" spans="1:45" x14ac:dyDescent="0.25">
      <c r="A22" s="82" t="s">
        <v>24</v>
      </c>
      <c r="B22" s="7" t="s">
        <v>40</v>
      </c>
      <c r="D22" s="111">
        <f>VLOOKUP(IF(Вводные!$BG$21=0,VLOOKUP(Вводные!$BG$8,$E$3:$G$7,3,0),Вводные!$BG$21),$A$23:$AQ$26,COLUMN(),0)</f>
        <v>739140</v>
      </c>
      <c r="E22" s="111">
        <f>VLOOKUP(IF(Вводные!$BG$21=0,VLOOKUP(Вводные!$BG$8,$E$3:$G$7,3,0),Вводные!$BG$21),$A$23:$AQ$26,COLUMN(),0)</f>
        <v>676740</v>
      </c>
      <c r="F22" s="111">
        <f>VLOOKUP(IF(Вводные!$BG$21=0,VLOOKUP(Вводные!$BG$8,$E$3:$G$7,3,0),Вводные!$BG$21),$A$23:$AQ$26,COLUMN(),0)</f>
        <v>0</v>
      </c>
      <c r="G22" s="111">
        <f>VLOOKUP(IF(Вводные!$BG$21=0,VLOOKUP(Вводные!$BG$8,$E$3:$G$7,3,0),Вводные!$BG$21),$A$23:$AQ$26,COLUMN(),0)</f>
        <v>0</v>
      </c>
      <c r="H22" s="111">
        <f>VLOOKUP(IF(Вводные!$BG$21=0,VLOOKUP(Вводные!$BG$8,$E$3:$G$7,3,0),Вводные!$BG$21),$A$23:$AQ$26,COLUMN(),0)</f>
        <v>0</v>
      </c>
      <c r="I22" s="111">
        <f>VLOOKUP(IF(Вводные!$BG$21=0,VLOOKUP(Вводные!$BG$8,$E$3:$G$7,3,0),Вводные!$BG$21),$A$23:$AQ$26,COLUMN(),0)</f>
        <v>0</v>
      </c>
      <c r="J22" s="111">
        <f>VLOOKUP(IF(Вводные!$BG$21=0,VLOOKUP(Вводные!$BG$8,$E$3:$G$7,3,0),Вводные!$BG$21),$A$23:$AQ$26,COLUMN(),0)</f>
        <v>0</v>
      </c>
      <c r="K22" s="111">
        <f>VLOOKUP(IF(Вводные!$BG$21=0,VLOOKUP(Вводные!$BG$8,$E$3:$G$7,3,0),Вводные!$BG$21),$A$23:$AQ$26,COLUMN(),0)</f>
        <v>0</v>
      </c>
      <c r="L22" s="111">
        <f>VLOOKUP(IF(Вводные!$BG$21=0,VLOOKUP(Вводные!$BG$8,$E$3:$G$7,3,0),Вводные!$BG$21),$A$23:$AQ$26,COLUMN(),0)</f>
        <v>0</v>
      </c>
      <c r="M22" s="111">
        <f>VLOOKUP(IF(Вводные!$BG$21=0,VLOOKUP(Вводные!$BG$8,$E$3:$G$7,3,0),Вводные!$BG$21),$A$23:$AQ$26,COLUMN(),0)</f>
        <v>0</v>
      </c>
      <c r="N22" s="111">
        <f>VLOOKUP(IF(Вводные!$BG$21=0,VLOOKUP(Вводные!$BG$8,$E$3:$G$7,3,0),Вводные!$BG$21),$A$23:$AQ$26,COLUMN(),0)</f>
        <v>0</v>
      </c>
      <c r="O22" s="111">
        <f>VLOOKUP(IF(Вводные!$BG$21=0,VLOOKUP(Вводные!$BG$8,$E$3:$G$7,3,0),Вводные!$BG$21),$A$23:$AQ$26,COLUMN(),0)</f>
        <v>0</v>
      </c>
      <c r="P22" s="111">
        <f>VLOOKUP(IF(Вводные!$BG$21=0,VLOOKUP(Вводные!$BG$8,$E$3:$G$7,3,0),Вводные!$BG$21),$A$23:$AQ$26,COLUMN(),0)</f>
        <v>0</v>
      </c>
      <c r="Q22" s="111">
        <f>VLOOKUP(IF(Вводные!$BG$21=0,VLOOKUP(Вводные!$BG$8,$E$3:$G$7,3,0),Вводные!$BG$21),$A$23:$AQ$26,COLUMN(),0)</f>
        <v>62400</v>
      </c>
      <c r="R22" s="111"/>
      <c r="S22" s="111">
        <f>VLOOKUP(IF(Вводные!$BG$21=0,VLOOKUP(Вводные!$BG$8,$E$3:$G$7,3,0),Вводные!$BG$21),$A$23:$AQ$26,COLUMN(),0)</f>
        <v>0</v>
      </c>
      <c r="T22" s="111">
        <f>VLOOKUP(IF(Вводные!$BG$21=0,VLOOKUP(Вводные!$BG$8,$E$3:$G$7,3,0),Вводные!$BG$21),$A$23:$AQ$26,COLUMN(),0)</f>
        <v>0</v>
      </c>
      <c r="U22" s="111">
        <f>VLOOKUP(IF(Вводные!$BG$21=0,VLOOKUP(Вводные!$BG$8,$E$3:$G$7,3,0),Вводные!$BG$21),$A$23:$AQ$26,COLUMN(),0)</f>
        <v>0</v>
      </c>
      <c r="V22" s="111">
        <f>VLOOKUP(IF(Вводные!$BG$21=0,VLOOKUP(Вводные!$BG$8,$E$3:$G$7,3,0),Вводные!$BG$21),$A$23:$AQ$26,COLUMN(),0)</f>
        <v>0</v>
      </c>
      <c r="W22" s="111">
        <f>VLOOKUP(IF(Вводные!$BG$21=0,VLOOKUP(Вводные!$BG$8,$E$3:$G$7,3,0),Вводные!$BG$21),$A$23:$AQ$26,COLUMN(),0)</f>
        <v>0</v>
      </c>
      <c r="X22" s="111">
        <f>VLOOKUP(IF(Вводные!$BG$21=0,VLOOKUP(Вводные!$BG$8,$E$3:$G$7,3,0),Вводные!$BG$21),$A$23:$AQ$26,COLUMN(),0)</f>
        <v>0</v>
      </c>
      <c r="Y22" s="111">
        <f>VLOOKUP(IF(Вводные!$BG$21=0,VLOOKUP(Вводные!$BG$8,$E$3:$G$7,3,0),Вводные!$BG$21),$A$23:$AQ$26,COLUMN(),0)</f>
        <v>0</v>
      </c>
      <c r="Z22" s="111">
        <f>VLOOKUP(IF(Вводные!$BG$21=0,VLOOKUP(Вводные!$BG$8,$E$3:$G$7,3,0),Вводные!$BG$21),$A$23:$AQ$26,COLUMN(),0)</f>
        <v>0</v>
      </c>
      <c r="AA22" s="111">
        <f>VLOOKUP(IF(Вводные!$BG$21=0,VLOOKUP(Вводные!$BG$8,$E$3:$G$7,3,0),Вводные!$BG$21),$A$23:$AQ$26,COLUMN(),0)</f>
        <v>0</v>
      </c>
      <c r="AB22" s="111">
        <f>VLOOKUP(IF(Вводные!$BG$21=0,VLOOKUP(Вводные!$BG$8,$E$3:$G$7,3,0),Вводные!$BG$21),$A$23:$AQ$26,COLUMN(),0)</f>
        <v>0</v>
      </c>
      <c r="AC22" s="111">
        <f>VLOOKUP(IF(Вводные!$BG$21=0,VLOOKUP(Вводные!$BG$8,$E$3:$G$7,3,0),Вводные!$BG$21),$A$23:$AQ$26,COLUMN(),0)</f>
        <v>0</v>
      </c>
      <c r="AD22" s="111">
        <f>VLOOKUP(IF(Вводные!$BG$21=0,VLOOKUP(Вводные!$BG$8,$E$3:$G$7,3,0),Вводные!$BG$21),$A$23:$AQ$26,COLUMN(),0)</f>
        <v>56400</v>
      </c>
      <c r="AE22" s="111">
        <f>VLOOKUP(IF(Вводные!$BG$21=0,VLOOKUP(Вводные!$BG$8,$E$3:$G$7,3,0),Вводные!$BG$21),$A$23:$AQ$26,COLUMN(),0)</f>
        <v>0</v>
      </c>
      <c r="AF22" s="111">
        <f>VLOOKUP(IF(Вводные!$BG$21=0,VLOOKUP(Вводные!$BG$8,$E$3:$G$7,3,0),Вводные!$BG$21),$A$23:$AQ$26,COLUMN(),0)</f>
        <v>0</v>
      </c>
      <c r="AG22" s="111">
        <f>VLOOKUP(IF(Вводные!$BG$21=0,VLOOKUP(Вводные!$BG$8,$E$3:$G$7,3,0),Вводные!$BG$21),$A$23:$AQ$26,COLUMN(),0)</f>
        <v>0</v>
      </c>
      <c r="AH22" s="111">
        <f>VLOOKUP(IF(Вводные!$BG$21=0,VLOOKUP(Вводные!$BG$8,$E$3:$G$7,3,0),Вводные!$BG$21),$A$23:$AQ$26,COLUMN(),0)</f>
        <v>0</v>
      </c>
      <c r="AI22" s="111">
        <f>VLOOKUP(IF(Вводные!$BG$21=0,VLOOKUP(Вводные!$BG$8,$E$3:$G$7,3,0),Вводные!$BG$21),$A$23:$AQ$26,COLUMN(),0)</f>
        <v>0</v>
      </c>
      <c r="AJ22" s="111">
        <f>VLOOKUP(IF(Вводные!$BG$21=0,VLOOKUP(Вводные!$BG$8,$E$3:$G$7,3,0),Вводные!$BG$21),$A$23:$AQ$26,COLUMN(),0)</f>
        <v>0</v>
      </c>
      <c r="AK22" s="111">
        <f>VLOOKUP(IF(Вводные!$BG$21=0,VLOOKUP(Вводные!$BG$8,$E$3:$G$7,3,0),Вводные!$BG$21),$A$23:$AQ$26,COLUMN(),0)</f>
        <v>0</v>
      </c>
      <c r="AL22" s="111">
        <f>VLOOKUP(IF(Вводные!$BG$21=0,VLOOKUP(Вводные!$BG$8,$E$3:$G$7,3,0),Вводные!$BG$21),$A$23:$AQ$26,COLUMN(),0)</f>
        <v>0</v>
      </c>
      <c r="AM22" s="111">
        <f>VLOOKUP(IF(Вводные!$BG$21=0,VLOOKUP(Вводные!$BG$8,$E$3:$G$7,3,0),Вводные!$BG$21),$A$23:$AQ$26,COLUMN(),0)</f>
        <v>0</v>
      </c>
      <c r="AN22" s="111">
        <f>VLOOKUP(IF(Вводные!$BG$21=0,VLOOKUP(Вводные!$BG$8,$E$3:$G$7,3,0),Вводные!$BG$21),$A$23:$AQ$26,COLUMN(),0)</f>
        <v>0</v>
      </c>
      <c r="AO22" s="111">
        <f>VLOOKUP(IF(Вводные!$BG$21=0,VLOOKUP(Вводные!$BG$8,$E$3:$G$7,3,0),Вводные!$BG$21),$A$23:$AQ$26,COLUMN(),0)</f>
        <v>0</v>
      </c>
      <c r="AP22" s="111">
        <f>VLOOKUP(IF(Вводные!$BG$21=0,VLOOKUP(Вводные!$BG$8,$E$3:$G$7,3,0),Вводные!$BG$21),$A$23:$AQ$26,COLUMN(),0)</f>
        <v>0</v>
      </c>
      <c r="AQ22" s="111">
        <f>VLOOKUP(IF(Вводные!$BG$21=0,VLOOKUP(Вводные!$BG$8,$E$3:$G$7,3,0),Вводные!$BG$21),$A$23:$AQ$26,COLUMN(),0)</f>
        <v>0</v>
      </c>
      <c r="AR22" s="111"/>
      <c r="AS22" s="111"/>
    </row>
    <row r="23" spans="1:45" x14ac:dyDescent="0.25">
      <c r="A23" s="7" t="s">
        <v>25</v>
      </c>
      <c r="D23" s="111">
        <f>SUBTOTAL(9,E23:Q23)</f>
        <v>739140</v>
      </c>
      <c r="E23" s="111">
        <f>IF($D$17-COLUMN()+5=0,Оборудование!$D$10+Оборудование!$H$10*Вводные!$BG$13,0)</f>
        <v>676740</v>
      </c>
      <c r="F23" s="111">
        <f>IF($D$17-COLUMN()+5=0,Оборудование!$D$10+Оборудование!$H$10*Вводные!$BG$13,0)</f>
        <v>0</v>
      </c>
      <c r="G23" s="111">
        <f>IF($D$17-COLUMN()+5=0,Оборудование!$D$10+Оборудование!$H$10*Вводные!$BG$13,0)</f>
        <v>0</v>
      </c>
      <c r="H23" s="111">
        <f>IF($D$17-COLUMN()+5=0,Оборудование!$D$10+Оборудование!$H$10*Вводные!$BG$13,0)</f>
        <v>0</v>
      </c>
      <c r="I23" s="111">
        <f>IF($D$17-COLUMN()+5=0,Оборудование!$D$10+Оборудование!$H$10*Вводные!$BG$13,0)</f>
        <v>0</v>
      </c>
      <c r="J23" s="111">
        <f>IF($D$17-COLUMN()+5=0,Оборудование!$D$10+Оборудование!$H$10*Вводные!$BG$13,0)</f>
        <v>0</v>
      </c>
      <c r="K23" s="111">
        <f>IF($D$17-COLUMN()+5=0,Оборудование!$D$10+Оборудование!$H$10*Вводные!$BG$13,0)</f>
        <v>0</v>
      </c>
      <c r="L23" s="111">
        <f>IF($D$17-COLUMN()+5=0,Оборудование!$D$10+Оборудование!$H$10*Вводные!$BG$13,0)</f>
        <v>0</v>
      </c>
      <c r="M23" s="111">
        <f>IF($D$17-COLUMN()+5=0,Оборудование!$D$10+Оборудование!$H$10*Вводные!$BG$13,0)</f>
        <v>0</v>
      </c>
      <c r="N23" s="111">
        <f>IF($D$17-COLUMN()+5=0,Оборудование!$D$10+Оборудование!$H$10*Вводные!$BG$13,0)</f>
        <v>0</v>
      </c>
      <c r="O23" s="111">
        <f>IF($D$17-COLUMN()+5=0,Оборудование!$D$10+Оборудование!$H$10*Вводные!$BG$13,0)</f>
        <v>0</v>
      </c>
      <c r="P23" s="111">
        <f>IF($D$17-COLUMN()+5=0,Оборудование!$D$10+Оборудование!$H$10*Вводные!$BG$13,0)</f>
        <v>0</v>
      </c>
      <c r="Q23" s="111">
        <f>Оборудование!$L$10*Вводные!$BG$13</f>
        <v>62400</v>
      </c>
      <c r="R23" s="111"/>
      <c r="S23" s="111"/>
      <c r="T23" s="111"/>
      <c r="U23" s="111"/>
      <c r="V23" s="111"/>
      <c r="W23" s="111"/>
      <c r="X23" s="111"/>
      <c r="Y23" s="111"/>
      <c r="Z23" s="111"/>
      <c r="AA23" s="111"/>
      <c r="AB23" s="111"/>
      <c r="AC23" s="111"/>
      <c r="AD23" s="111">
        <f>Оборудование!$P$10*Вводные!$BG$13</f>
        <v>56400</v>
      </c>
      <c r="AE23" s="111">
        <f>SUBTOTAL(9,AF23:AR23)</f>
        <v>0</v>
      </c>
      <c r="AF23" s="111"/>
      <c r="AG23" s="111"/>
      <c r="AH23" s="111"/>
      <c r="AI23" s="111"/>
      <c r="AJ23" s="111"/>
      <c r="AK23" s="111"/>
      <c r="AL23" s="111"/>
      <c r="AM23" s="111"/>
      <c r="AN23" s="111"/>
      <c r="AO23" s="111"/>
      <c r="AP23" s="111"/>
      <c r="AQ23" s="111"/>
      <c r="AR23" s="111"/>
      <c r="AS23" s="111"/>
    </row>
    <row r="24" spans="1:45" x14ac:dyDescent="0.25">
      <c r="A24" s="7" t="s">
        <v>26</v>
      </c>
      <c r="B24" s="7">
        <f>IF(Вводные!$BG$13&lt;=4,Вводные!$BG$13,ROUND( Вводные!$BG$13*2/3,0))</f>
        <v>8</v>
      </c>
      <c r="D24" s="111">
        <f>SUBTOTAL(9,E24:Q24)</f>
        <v>739140</v>
      </c>
      <c r="E24" s="111">
        <f>IF($D$17-COLUMN()+5=0,Оборудование!$D$10+Оборудование!$H$10*$B24,IF($D$17-COLUMN()+5=-2,Оборудование!$H$10*(Вводные!$BG$13-$B24),0))</f>
        <v>496660</v>
      </c>
      <c r="F24" s="111">
        <f>IF($D$17-COLUMN()+5=0,Оборудование!$D$10+Оборудование!$H$10*$B24,IF($D$17-COLUMN()+5=-2,Оборудование!$H$10*(Вводные!$BG$13-$B24),0))</f>
        <v>0</v>
      </c>
      <c r="G24" s="111">
        <f>IF($D$17-COLUMN()+5=0,Оборудование!$D$10+Оборудование!$H$10*$B24,IF($D$17-COLUMN()+5=-2,Оборудование!$H$10*(Вводные!$BG$13-$B24),0))</f>
        <v>180080</v>
      </c>
      <c r="H24" s="111">
        <f>IF($D$17-COLUMN()+5=0,Оборудование!$D$10+Оборудование!$H$10*$B24,IF($D$17-COLUMN()+5=-2,Оборудование!$H$10*(Вводные!$BG$13-$B24),0))</f>
        <v>0</v>
      </c>
      <c r="I24" s="111">
        <f>IF($D$17-COLUMN()+5=0,Оборудование!$D$10+Оборудование!$H$10*$B24,IF($D$17-COLUMN()+5=-2,Оборудование!$H$10*(Вводные!$BG$13-$B24),0))</f>
        <v>0</v>
      </c>
      <c r="J24" s="111">
        <f>IF($D$17-COLUMN()+5=0,Оборудование!$D$10+Оборудование!$H$10*$B24,IF($D$17-COLUMN()+5=-2,Оборудование!$H$10*(Вводные!$BG$13-$B24),0))</f>
        <v>0</v>
      </c>
      <c r="K24" s="111">
        <f>IF($D$17-COLUMN()+5=0,Оборудование!$D$10+Оборудование!$H$10*$B24,IF($D$17-COLUMN()+5=-2,Оборудование!$H$10*(Вводные!$BG$13-$B24),0))</f>
        <v>0</v>
      </c>
      <c r="L24" s="111">
        <f>IF($D$17-COLUMN()+5=0,Оборудование!$D$10+Оборудование!$H$10*$B24,IF($D$17-COLUMN()+5=-2,Оборудование!$H$10*(Вводные!$BG$13-$B24),0))</f>
        <v>0</v>
      </c>
      <c r="M24" s="111">
        <f>IF($D$17-COLUMN()+5=0,Оборудование!$D$10+Оборудование!$H$10*$B24,IF($D$17-COLUMN()+5=-2,Оборудование!$H$10*(Вводные!$BG$13-$B24),0))</f>
        <v>0</v>
      </c>
      <c r="N24" s="111">
        <f>IF($D$17-COLUMN()+5=0,Оборудование!$D$10+Оборудование!$H$10*$B24,IF($D$17-COLUMN()+5=-2,Оборудование!$H$10*(Вводные!$BG$13-$B24),0))</f>
        <v>0</v>
      </c>
      <c r="O24" s="111">
        <f>IF($D$17-COLUMN()+5=0,Оборудование!$D$10+Оборудование!$H$10*$B24,IF($D$17-COLUMN()+5=-2,Оборудование!$H$10*(Вводные!$BG$13-$B24),0))</f>
        <v>0</v>
      </c>
      <c r="P24" s="111">
        <f>IF($D$17-COLUMN()+5=0,Оборудование!$D$10+Оборудование!$H$10*$B24,IF($D$17-COLUMN()+5=-2,Оборудование!$H$10*(Вводные!$BG$13-$B24),0))</f>
        <v>0</v>
      </c>
      <c r="Q24" s="111">
        <f>Оборудование!$L$10*Вводные!$BG$13</f>
        <v>62400</v>
      </c>
      <c r="R24" s="111"/>
      <c r="S24" s="111"/>
      <c r="T24" s="111"/>
      <c r="U24" s="111"/>
      <c r="V24" s="111"/>
      <c r="W24" s="111"/>
      <c r="X24" s="111"/>
      <c r="Y24" s="111"/>
      <c r="Z24" s="111"/>
      <c r="AA24" s="111"/>
      <c r="AB24" s="111"/>
      <c r="AC24" s="111"/>
      <c r="AD24" s="111">
        <f>Оборудование!$P$10*Вводные!$BG$13</f>
        <v>56400</v>
      </c>
      <c r="AE24" s="111">
        <f>SUBTOTAL(9,AF24:AR24)</f>
        <v>0</v>
      </c>
      <c r="AF24" s="111"/>
      <c r="AG24" s="111"/>
      <c r="AH24" s="111"/>
      <c r="AI24" s="111"/>
      <c r="AJ24" s="111"/>
      <c r="AK24" s="111"/>
      <c r="AL24" s="111"/>
      <c r="AM24" s="111"/>
      <c r="AN24" s="111"/>
      <c r="AO24" s="111"/>
      <c r="AP24" s="111"/>
      <c r="AQ24" s="111"/>
      <c r="AR24" s="111"/>
      <c r="AS24" s="111"/>
    </row>
    <row r="25" spans="1:45" x14ac:dyDescent="0.25">
      <c r="A25" s="7" t="s">
        <v>27</v>
      </c>
      <c r="B25" s="7">
        <f>IF(Вводные!$BG$13&lt;=4,Вводные!$BG$13,ROUND( Вводные!$BG$13/2,0))</f>
        <v>6</v>
      </c>
      <c r="C25" s="7">
        <f>IF(Вводные!$BG$13&lt;=4,0,ROUNDDOWN( Вводные!$BG$13/3,0))</f>
        <v>4</v>
      </c>
      <c r="D25" s="111">
        <f>SUBTOTAL(9,E25:Q25)</f>
        <v>739140</v>
      </c>
      <c r="E25" s="111">
        <f>IF($D$17-COLUMN()+5=0,Оборудование!$D$10+Оборудование!$H$10*$B25,IF($D$17-COLUMN()+5=-2,Оборудование!$H$10*$C25,IF($D$17-COLUMN()+5=-4,Оборудование!$H$10*(Вводные!$BG$13-$B25-$C$25),0)))</f>
        <v>406620</v>
      </c>
      <c r="F25" s="111">
        <f>IF($D$17-COLUMN()+5=0,Оборудование!$D$10+Оборудование!$H$10*$B25,IF($D$17-COLUMN()+5=-2,Оборудование!$H$10*$C25,IF($D$17-COLUMN()+5=-4,Оборудование!$H$10*(Вводные!$BG$13-$B25-$C$25),0)))</f>
        <v>0</v>
      </c>
      <c r="G25" s="111">
        <f>IF($D$17-COLUMN()+5=0,Оборудование!$D$10+Оборудование!$H$10*$B25,IF($D$17-COLUMN()+5=-2,Оборудование!$H$10*$C25,IF($D$17-COLUMN()+5=-4,Оборудование!$H$10*(Вводные!$BG$13-$B25-$C$25),0)))</f>
        <v>180080</v>
      </c>
      <c r="H25" s="111">
        <f>IF($D$17-COLUMN()+5=0,Оборудование!$D$10+Оборудование!$H$10*$B25,IF($D$17-COLUMN()+5=-2,Оборудование!$H$10*$C25,IF($D$17-COLUMN()+5=-4,Оборудование!$H$10*(Вводные!$BG$13-$B25-$C$25),0)))</f>
        <v>0</v>
      </c>
      <c r="I25" s="111">
        <f>IF($D$17-COLUMN()+5=0,Оборудование!$D$10+Оборудование!$H$10*$B25,IF($D$17-COLUMN()+5=-2,Оборудование!$H$10*$C25,IF($D$17-COLUMN()+5=-4,Оборудование!$H$10*(Вводные!$BG$13-$B25-$C$25),0)))</f>
        <v>90040</v>
      </c>
      <c r="J25" s="111">
        <f>IF($D$17-COLUMN()+5=0,Оборудование!$D$10+Оборудование!$H$10*$B25,IF($D$17-COLUMN()+5=-2,Оборудование!$H$10*$C25,IF($D$17-COLUMN()+5=-4,Оборудование!$H$10*(Вводные!$BG$13-$B25-$C$25),0)))</f>
        <v>0</v>
      </c>
      <c r="K25" s="111">
        <f>IF($D$17-COLUMN()+5=0,Оборудование!$D$10+Оборудование!$H$10*$B25,IF($D$17-COLUMN()+5=-2,Оборудование!$H$10*$C25,IF($D$17-COLUMN()+5=-4,Оборудование!$H$10*(Вводные!$BG$13-$B25-$C$25),0)))</f>
        <v>0</v>
      </c>
      <c r="L25" s="111">
        <f>IF($D$17-COLUMN()+5=0,Оборудование!$D$10+Оборудование!$H$10*$B25,IF($D$17-COLUMN()+5=-2,Оборудование!$H$10*$C25,IF($D$17-COLUMN()+5=-4,Оборудование!$H$10*(Вводные!$BG$13-$B25-$C$25),0)))</f>
        <v>0</v>
      </c>
      <c r="M25" s="111">
        <f>IF($D$17-COLUMN()+5=0,Оборудование!$D$10+Оборудование!$H$10*$B25,IF($D$17-COLUMN()+5=-2,Оборудование!$H$10*$C25,IF($D$17-COLUMN()+5=-4,Оборудование!$H$10*(Вводные!$BG$13-$B25-$C$25),0)))</f>
        <v>0</v>
      </c>
      <c r="N25" s="111">
        <f>IF($D$17-COLUMN()+5=0,Оборудование!$D$10+Оборудование!$H$10*$B25,IF($D$17-COLUMN()+5=-2,Оборудование!$H$10*$C25,IF($D$17-COLUMN()+5=-4,Оборудование!$H$10*(Вводные!$BG$13-$B25-$C$25),0)))</f>
        <v>0</v>
      </c>
      <c r="O25" s="111">
        <f>IF($D$17-COLUMN()+5=0,Оборудование!$D$10+Оборудование!$H$10*$B25,IF($D$17-COLUMN()+5=-2,Оборудование!$H$10*$C25,IF($D$17-COLUMN()+5=-4,Оборудование!$H$10*(Вводные!$BG$13-$B25-$C$25),0)))</f>
        <v>0</v>
      </c>
      <c r="P25" s="111">
        <f>IF($D$17-COLUMN()+5=0,Оборудование!$D$10+Оборудование!$H$10*$B25,IF($D$17-COLUMN()+5=-2,Оборудование!$H$10*$C25,IF($D$17-COLUMN()+5=-4,Оборудование!$H$10*(Вводные!$BG$13-$B25-$C$25),0)))</f>
        <v>0</v>
      </c>
      <c r="Q25" s="111">
        <f>Оборудование!$L$10*Вводные!$BG$13+SUM(E23:P23)-SUM(E25:P25)</f>
        <v>62400</v>
      </c>
      <c r="R25" s="111"/>
      <c r="S25" s="111"/>
      <c r="T25" s="111"/>
      <c r="U25" s="111"/>
      <c r="V25" s="111"/>
      <c r="W25" s="111"/>
      <c r="X25" s="111"/>
      <c r="Y25" s="111"/>
      <c r="Z25" s="111"/>
      <c r="AA25" s="111"/>
      <c r="AB25" s="111"/>
      <c r="AC25" s="111"/>
      <c r="AD25" s="111">
        <f>Оборудование!$P$10*Вводные!$BG$13</f>
        <v>56400</v>
      </c>
      <c r="AE25" s="111">
        <f>SUBTOTAL(9,AF25:AR25)</f>
        <v>0</v>
      </c>
      <c r="AF25" s="111"/>
      <c r="AG25" s="111"/>
      <c r="AH25" s="111"/>
      <c r="AI25" s="111"/>
      <c r="AJ25" s="111"/>
      <c r="AK25" s="111"/>
      <c r="AL25" s="111"/>
      <c r="AM25" s="111"/>
      <c r="AN25" s="111"/>
      <c r="AO25" s="111"/>
      <c r="AP25" s="111"/>
      <c r="AQ25" s="111"/>
      <c r="AR25" s="111"/>
      <c r="AS25" s="111"/>
    </row>
    <row r="26" spans="1:45" x14ac:dyDescent="0.25">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row>
    <row r="27" spans="1:45" x14ac:dyDescent="0.25">
      <c r="A27" s="110" t="s">
        <v>39</v>
      </c>
      <c r="C27" s="128">
        <v>5.0000000000000001E-3</v>
      </c>
      <c r="J27" s="112">
        <f>SUM($E$22:F22)*$C$27</f>
        <v>3383.7000000000003</v>
      </c>
      <c r="K27" s="112">
        <f>SUM($E$22:G22)*$C$27</f>
        <v>3383.7000000000003</v>
      </c>
      <c r="L27" s="112">
        <f>SUM($E$22:H22)*$C$27</f>
        <v>3383.7000000000003</v>
      </c>
      <c r="M27" s="112">
        <f>SUM($E$22:I22)*$C$27</f>
        <v>3383.7000000000003</v>
      </c>
      <c r="N27" s="112">
        <f>SUM($E$22:J22)*$C$27</f>
        <v>3383.7000000000003</v>
      </c>
      <c r="O27" s="112">
        <v>0</v>
      </c>
      <c r="P27" s="112">
        <v>0</v>
      </c>
      <c r="Q27" s="112">
        <v>0</v>
      </c>
      <c r="R27" s="112">
        <f>SUM($E$22:N22)*$C$27</f>
        <v>3383.7000000000003</v>
      </c>
      <c r="S27" s="112">
        <f>SUM($E$22:O22)*$C$27</f>
        <v>3383.7000000000003</v>
      </c>
      <c r="T27" s="112">
        <f>SUM($E$22:P22)*$C$27</f>
        <v>3383.7000000000003</v>
      </c>
      <c r="U27" s="112">
        <f>SUM($E$22:Q22)*$C$27</f>
        <v>3695.7000000000003</v>
      </c>
      <c r="V27" s="112">
        <f>SUM($E$22:R22)*$C$27</f>
        <v>3695.7000000000003</v>
      </c>
      <c r="W27" s="112">
        <f>SUM($E$22:S22)*$C$27</f>
        <v>3695.7000000000003</v>
      </c>
      <c r="X27" s="112">
        <f>SUM($E$22:T22)*$C$27</f>
        <v>3695.7000000000003</v>
      </c>
      <c r="Y27" s="112">
        <f>SUM($E$22:U22)*$C$27</f>
        <v>3695.7000000000003</v>
      </c>
      <c r="Z27" s="112">
        <f>SUM($E$22:V22)*$C$27</f>
        <v>3695.7000000000003</v>
      </c>
      <c r="AA27" s="112">
        <f>SUM($E$22:W22)*$C$27</f>
        <v>3695.7000000000003</v>
      </c>
      <c r="AB27" s="112">
        <v>0</v>
      </c>
      <c r="AC27" s="112">
        <v>0</v>
      </c>
      <c r="AD27" s="112">
        <v>0</v>
      </c>
      <c r="AE27" s="112">
        <f>SUM($E$22:AA22)*$C$27</f>
        <v>3695.7000000000003</v>
      </c>
      <c r="AF27" s="112">
        <f>SUM($E$22:AB22)*$C$27</f>
        <v>3695.7000000000003</v>
      </c>
      <c r="AG27" s="112">
        <f>SUM($E$22:AC22)*$C$27</f>
        <v>3695.7000000000003</v>
      </c>
      <c r="AH27" s="112">
        <f>SUM($E$22:AD22)*$C$27</f>
        <v>3977.7000000000003</v>
      </c>
      <c r="AI27" s="112">
        <f>SUM($E$22:AE22)*$C$27</f>
        <v>3977.7000000000003</v>
      </c>
      <c r="AJ27" s="112">
        <f>SUM($E$22:AF22)*$C$27</f>
        <v>3977.7000000000003</v>
      </c>
      <c r="AK27" s="112">
        <f>SUM($E$22:AG22)*$C$27</f>
        <v>3977.7000000000003</v>
      </c>
      <c r="AL27" s="112">
        <f>SUM($E$22:AH22)*$C$27</f>
        <v>3977.7000000000003</v>
      </c>
      <c r="AM27" s="112">
        <f>SUM($E$22:AI22)*$C$27</f>
        <v>3977.7000000000003</v>
      </c>
      <c r="AN27" s="112">
        <f>SUM($E$22:AJ22)*$C$27</f>
        <v>3977.7000000000003</v>
      </c>
      <c r="AO27" s="112">
        <v>0</v>
      </c>
      <c r="AP27" s="112">
        <v>0</v>
      </c>
      <c r="AQ27" s="112">
        <v>0</v>
      </c>
    </row>
    <row r="28" spans="1:45" x14ac:dyDescent="0.25">
      <c r="C28" s="128"/>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row>
    <row r="29" spans="1:45" x14ac:dyDescent="0.25">
      <c r="A29" s="110" t="s">
        <v>66</v>
      </c>
      <c r="C29" s="7" t="s">
        <v>50</v>
      </c>
    </row>
    <row r="30" spans="1:45" x14ac:dyDescent="0.25">
      <c r="A30" s="129" t="s">
        <v>67</v>
      </c>
      <c r="C30" s="7">
        <v>9</v>
      </c>
      <c r="E30" s="111"/>
      <c r="F30" s="7">
        <v>35</v>
      </c>
      <c r="G30" s="7">
        <v>50</v>
      </c>
      <c r="H30" s="7">
        <v>55</v>
      </c>
      <c r="I30" s="7">
        <v>65</v>
      </c>
      <c r="J30" s="7">
        <v>60</v>
      </c>
      <c r="K30" s="7">
        <v>65</v>
      </c>
      <c r="L30" s="7">
        <v>65</v>
      </c>
      <c r="M30" s="7">
        <v>65</v>
      </c>
      <c r="N30" s="7">
        <f>ROUND(M30/1.09,0)</f>
        <v>60</v>
      </c>
      <c r="S30" s="7">
        <v>68</v>
      </c>
      <c r="T30" s="7">
        <v>73</v>
      </c>
      <c r="U30" s="7">
        <v>73</v>
      </c>
      <c r="V30" s="7">
        <v>73</v>
      </c>
      <c r="W30" s="7">
        <f t="shared" ref="W30:W38" si="1">ROUND(V30/1.09,0)</f>
        <v>67</v>
      </c>
      <c r="X30" s="7">
        <v>73</v>
      </c>
      <c r="Y30" s="7">
        <v>73</v>
      </c>
      <c r="Z30" s="7">
        <v>73</v>
      </c>
      <c r="AA30" s="7">
        <f>ROUND(Z30/1.09,0)</f>
        <v>67</v>
      </c>
      <c r="AF30" s="7">
        <v>76</v>
      </c>
      <c r="AG30" s="7">
        <v>82</v>
      </c>
      <c r="AH30" s="7">
        <v>84</v>
      </c>
      <c r="AI30" s="7">
        <v>84</v>
      </c>
      <c r="AJ30" s="7">
        <f>ROUND(AI30/1.09,0)</f>
        <v>77</v>
      </c>
      <c r="AK30" s="7">
        <v>84</v>
      </c>
      <c r="AL30" s="7">
        <v>84</v>
      </c>
      <c r="AM30" s="7">
        <v>84</v>
      </c>
      <c r="AN30" s="7">
        <f t="shared" ref="AN30:AN38" si="2">ROUND(AM30/1.09,0)</f>
        <v>77</v>
      </c>
    </row>
    <row r="31" spans="1:45" x14ac:dyDescent="0.25">
      <c r="C31" s="7">
        <v>10</v>
      </c>
      <c r="G31" s="7">
        <v>30</v>
      </c>
      <c r="H31" s="7">
        <v>45</v>
      </c>
      <c r="I31" s="7">
        <v>55</v>
      </c>
      <c r="J31" s="7">
        <v>50</v>
      </c>
      <c r="K31" s="7">
        <v>55</v>
      </c>
      <c r="L31" s="7">
        <v>55</v>
      </c>
      <c r="M31" s="7">
        <v>55</v>
      </c>
      <c r="N31" s="7">
        <f t="shared" ref="N31:N37" si="3">ROUND(M31/1.09,0)</f>
        <v>50</v>
      </c>
      <c r="S31" s="7">
        <v>66</v>
      </c>
      <c r="T31" s="7">
        <v>70</v>
      </c>
      <c r="U31" s="7">
        <v>70</v>
      </c>
      <c r="V31" s="7">
        <v>70</v>
      </c>
      <c r="W31" s="7">
        <f t="shared" si="1"/>
        <v>64</v>
      </c>
      <c r="X31" s="7">
        <v>70</v>
      </c>
      <c r="Y31" s="7">
        <v>70</v>
      </c>
      <c r="Z31" s="7">
        <v>70</v>
      </c>
      <c r="AA31" s="7">
        <f>ROUND(Z31/1.09,0)</f>
        <v>64</v>
      </c>
      <c r="AF31" s="7">
        <v>76</v>
      </c>
      <c r="AG31" s="7">
        <v>82</v>
      </c>
      <c r="AH31" s="7">
        <v>84</v>
      </c>
      <c r="AI31" s="7">
        <v>84</v>
      </c>
      <c r="AJ31" s="7">
        <f t="shared" ref="AJ31:AJ38" si="4">ROUND(AI31/1.09,0)</f>
        <v>77</v>
      </c>
      <c r="AK31" s="7">
        <v>84</v>
      </c>
      <c r="AL31" s="7">
        <v>84</v>
      </c>
      <c r="AM31" s="7">
        <v>84</v>
      </c>
      <c r="AN31" s="7">
        <f t="shared" si="2"/>
        <v>77</v>
      </c>
    </row>
    <row r="32" spans="1:45" x14ac:dyDescent="0.25">
      <c r="C32" s="7">
        <v>11</v>
      </c>
      <c r="H32" s="7">
        <v>30</v>
      </c>
      <c r="I32" s="7">
        <v>45</v>
      </c>
      <c r="J32" s="7">
        <v>43</v>
      </c>
      <c r="K32" s="7">
        <v>50</v>
      </c>
      <c r="L32" s="7">
        <v>50</v>
      </c>
      <c r="M32" s="7">
        <v>50</v>
      </c>
      <c r="N32" s="7">
        <f t="shared" si="3"/>
        <v>46</v>
      </c>
      <c r="S32" s="7">
        <v>65</v>
      </c>
      <c r="T32" s="7">
        <v>70</v>
      </c>
      <c r="U32" s="7">
        <v>70</v>
      </c>
      <c r="V32" s="7">
        <v>70</v>
      </c>
      <c r="W32" s="7">
        <f t="shared" si="1"/>
        <v>64</v>
      </c>
      <c r="X32" s="7">
        <v>70</v>
      </c>
      <c r="Y32" s="7">
        <v>70</v>
      </c>
      <c r="Z32" s="7">
        <v>70</v>
      </c>
      <c r="AA32" s="7">
        <f t="shared" ref="AA32:AA38" si="5">ROUND(Z32/1.09,0)</f>
        <v>64</v>
      </c>
      <c r="AF32" s="7">
        <v>76</v>
      </c>
      <c r="AG32" s="7">
        <v>82</v>
      </c>
      <c r="AH32" s="7">
        <v>84</v>
      </c>
      <c r="AI32" s="7">
        <v>84</v>
      </c>
      <c r="AJ32" s="7">
        <f t="shared" si="4"/>
        <v>77</v>
      </c>
      <c r="AK32" s="7">
        <v>84</v>
      </c>
      <c r="AL32" s="7">
        <v>84</v>
      </c>
      <c r="AM32" s="7">
        <v>84</v>
      </c>
      <c r="AN32" s="7">
        <f t="shared" si="2"/>
        <v>77</v>
      </c>
    </row>
    <row r="33" spans="1:44" x14ac:dyDescent="0.25">
      <c r="C33" s="7">
        <v>12</v>
      </c>
      <c r="I33" s="7">
        <v>27</v>
      </c>
      <c r="J33" s="7">
        <v>27</v>
      </c>
      <c r="K33" s="7">
        <v>40</v>
      </c>
      <c r="L33" s="7">
        <v>40</v>
      </c>
      <c r="M33" s="7">
        <v>40</v>
      </c>
      <c r="N33" s="7">
        <f t="shared" si="3"/>
        <v>37</v>
      </c>
      <c r="S33" s="7">
        <v>63</v>
      </c>
      <c r="T33" s="7">
        <v>68</v>
      </c>
      <c r="U33" s="7">
        <v>68</v>
      </c>
      <c r="V33" s="7">
        <v>68</v>
      </c>
      <c r="W33" s="7">
        <f t="shared" si="1"/>
        <v>62</v>
      </c>
      <c r="X33" s="7">
        <v>68</v>
      </c>
      <c r="Y33" s="7">
        <v>68</v>
      </c>
      <c r="Z33" s="7">
        <v>68</v>
      </c>
      <c r="AA33" s="7">
        <f t="shared" si="5"/>
        <v>62</v>
      </c>
      <c r="AF33" s="7">
        <v>73</v>
      </c>
      <c r="AG33" s="7">
        <v>78</v>
      </c>
      <c r="AH33" s="7">
        <v>80</v>
      </c>
      <c r="AI33" s="7">
        <v>80</v>
      </c>
      <c r="AJ33" s="7">
        <f t="shared" si="4"/>
        <v>73</v>
      </c>
      <c r="AK33" s="7">
        <v>80</v>
      </c>
      <c r="AL33" s="7">
        <v>80</v>
      </c>
      <c r="AM33" s="7">
        <v>80</v>
      </c>
      <c r="AN33" s="7">
        <f t="shared" si="2"/>
        <v>73</v>
      </c>
    </row>
    <row r="34" spans="1:44" x14ac:dyDescent="0.25">
      <c r="C34" s="7">
        <v>1</v>
      </c>
      <c r="J34" s="7">
        <v>25</v>
      </c>
      <c r="K34" s="7">
        <v>39</v>
      </c>
      <c r="L34" s="7">
        <v>40</v>
      </c>
      <c r="M34" s="7">
        <v>40</v>
      </c>
      <c r="N34" s="7">
        <f t="shared" si="3"/>
        <v>37</v>
      </c>
      <c r="S34" s="7">
        <v>58</v>
      </c>
      <c r="T34" s="7">
        <v>68</v>
      </c>
      <c r="U34" s="7">
        <v>68</v>
      </c>
      <c r="V34" s="7">
        <v>68</v>
      </c>
      <c r="W34" s="7">
        <f t="shared" si="1"/>
        <v>62</v>
      </c>
      <c r="X34" s="7">
        <v>68</v>
      </c>
      <c r="Y34" s="7">
        <v>68</v>
      </c>
      <c r="Z34" s="7">
        <v>68</v>
      </c>
      <c r="AA34" s="7">
        <f t="shared" si="5"/>
        <v>62</v>
      </c>
      <c r="AF34" s="7">
        <v>73</v>
      </c>
      <c r="AG34" s="7">
        <v>78</v>
      </c>
      <c r="AH34" s="7">
        <v>80</v>
      </c>
      <c r="AI34" s="7">
        <v>80</v>
      </c>
      <c r="AJ34" s="7">
        <f t="shared" si="4"/>
        <v>73</v>
      </c>
      <c r="AK34" s="7">
        <v>80</v>
      </c>
      <c r="AL34" s="7">
        <v>80</v>
      </c>
      <c r="AM34" s="7">
        <v>80</v>
      </c>
      <c r="AN34" s="7">
        <f t="shared" si="2"/>
        <v>73</v>
      </c>
    </row>
    <row r="35" spans="1:44" x14ac:dyDescent="0.25">
      <c r="C35" s="7">
        <v>2</v>
      </c>
      <c r="K35" s="7">
        <v>25</v>
      </c>
      <c r="L35" s="7">
        <v>38</v>
      </c>
      <c r="M35" s="7">
        <v>40</v>
      </c>
      <c r="N35" s="7">
        <f t="shared" si="3"/>
        <v>37</v>
      </c>
      <c r="S35" s="7">
        <v>58</v>
      </c>
      <c r="T35" s="7">
        <v>68</v>
      </c>
      <c r="U35" s="7">
        <v>68</v>
      </c>
      <c r="V35" s="7">
        <v>68</v>
      </c>
      <c r="W35" s="7">
        <f t="shared" si="1"/>
        <v>62</v>
      </c>
      <c r="X35" s="7">
        <v>68</v>
      </c>
      <c r="Y35" s="7">
        <v>68</v>
      </c>
      <c r="Z35" s="7">
        <v>68</v>
      </c>
      <c r="AA35" s="7">
        <f t="shared" si="5"/>
        <v>62</v>
      </c>
      <c r="AF35" s="7">
        <v>73</v>
      </c>
      <c r="AG35" s="7">
        <v>78</v>
      </c>
      <c r="AH35" s="7">
        <v>80</v>
      </c>
      <c r="AI35" s="7">
        <v>80</v>
      </c>
      <c r="AJ35" s="7">
        <f t="shared" si="4"/>
        <v>73</v>
      </c>
      <c r="AK35" s="7">
        <v>80</v>
      </c>
      <c r="AL35" s="7">
        <v>80</v>
      </c>
      <c r="AM35" s="7">
        <v>80</v>
      </c>
      <c r="AN35" s="7">
        <f t="shared" si="2"/>
        <v>73</v>
      </c>
    </row>
    <row r="36" spans="1:44" x14ac:dyDescent="0.25">
      <c r="C36" s="7">
        <v>3</v>
      </c>
      <c r="L36" s="7">
        <v>25</v>
      </c>
      <c r="M36" s="7">
        <v>35</v>
      </c>
      <c r="N36" s="7">
        <f t="shared" si="3"/>
        <v>32</v>
      </c>
      <c r="S36" s="7">
        <v>58</v>
      </c>
      <c r="T36" s="7">
        <v>68</v>
      </c>
      <c r="U36" s="7">
        <v>68</v>
      </c>
      <c r="V36" s="7">
        <v>68</v>
      </c>
      <c r="W36" s="7">
        <f t="shared" si="1"/>
        <v>62</v>
      </c>
      <c r="X36" s="7">
        <v>68</v>
      </c>
      <c r="Y36" s="7">
        <v>68</v>
      </c>
      <c r="Z36" s="7">
        <v>68</v>
      </c>
      <c r="AA36" s="7">
        <f t="shared" si="5"/>
        <v>62</v>
      </c>
      <c r="AF36" s="7">
        <v>73</v>
      </c>
      <c r="AG36" s="7">
        <v>78</v>
      </c>
      <c r="AH36" s="7">
        <v>80</v>
      </c>
      <c r="AI36" s="7">
        <v>80</v>
      </c>
      <c r="AJ36" s="7">
        <f t="shared" si="4"/>
        <v>73</v>
      </c>
      <c r="AK36" s="7">
        <v>80</v>
      </c>
      <c r="AL36" s="7">
        <v>80</v>
      </c>
      <c r="AM36" s="7">
        <v>80</v>
      </c>
      <c r="AN36" s="7">
        <f t="shared" si="2"/>
        <v>73</v>
      </c>
    </row>
    <row r="37" spans="1:44" x14ac:dyDescent="0.25">
      <c r="C37" s="7">
        <v>4</v>
      </c>
      <c r="M37" s="7">
        <v>24</v>
      </c>
      <c r="N37" s="7">
        <f t="shared" si="3"/>
        <v>22</v>
      </c>
      <c r="S37" s="7">
        <v>53</v>
      </c>
      <c r="T37" s="7">
        <v>63</v>
      </c>
      <c r="U37" s="7">
        <v>68</v>
      </c>
      <c r="V37" s="7">
        <v>68</v>
      </c>
      <c r="W37" s="7">
        <f t="shared" si="1"/>
        <v>62</v>
      </c>
      <c r="X37" s="7">
        <v>68</v>
      </c>
      <c r="Y37" s="7">
        <v>68</v>
      </c>
      <c r="Z37" s="7">
        <v>68</v>
      </c>
      <c r="AA37" s="7">
        <f t="shared" si="5"/>
        <v>62</v>
      </c>
      <c r="AF37" s="7">
        <v>73</v>
      </c>
      <c r="AG37" s="7">
        <v>78</v>
      </c>
      <c r="AH37" s="7">
        <v>80</v>
      </c>
      <c r="AI37" s="7">
        <v>80</v>
      </c>
      <c r="AJ37" s="7">
        <f t="shared" si="4"/>
        <v>73</v>
      </c>
      <c r="AK37" s="7">
        <v>80</v>
      </c>
      <c r="AL37" s="7">
        <v>80</v>
      </c>
      <c r="AM37" s="7">
        <v>80</v>
      </c>
      <c r="AN37" s="7">
        <f t="shared" si="2"/>
        <v>73</v>
      </c>
    </row>
    <row r="38" spans="1:44" x14ac:dyDescent="0.25">
      <c r="C38" s="7">
        <v>5</v>
      </c>
      <c r="N38" s="7">
        <v>24</v>
      </c>
      <c r="S38" s="7">
        <v>53</v>
      </c>
      <c r="T38" s="7">
        <v>63</v>
      </c>
      <c r="U38" s="7">
        <v>68</v>
      </c>
      <c r="V38" s="7">
        <v>68</v>
      </c>
      <c r="W38" s="7">
        <f t="shared" si="1"/>
        <v>62</v>
      </c>
      <c r="X38" s="7">
        <v>68</v>
      </c>
      <c r="Y38" s="7">
        <v>68</v>
      </c>
      <c r="Z38" s="7">
        <v>68</v>
      </c>
      <c r="AA38" s="7">
        <f t="shared" si="5"/>
        <v>62</v>
      </c>
      <c r="AF38" s="7">
        <v>73</v>
      </c>
      <c r="AG38" s="7">
        <v>78</v>
      </c>
      <c r="AH38" s="7">
        <v>80</v>
      </c>
      <c r="AI38" s="7">
        <v>80</v>
      </c>
      <c r="AJ38" s="7">
        <f t="shared" si="4"/>
        <v>73</v>
      </c>
      <c r="AK38" s="7">
        <v>80</v>
      </c>
      <c r="AL38" s="7">
        <v>80</v>
      </c>
      <c r="AM38" s="7">
        <v>80</v>
      </c>
      <c r="AN38" s="7">
        <f t="shared" si="2"/>
        <v>73</v>
      </c>
    </row>
    <row r="39" spans="1:44" x14ac:dyDescent="0.25">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row>
    <row r="40" spans="1:44" x14ac:dyDescent="0.25">
      <c r="A40" s="110" t="s">
        <v>80</v>
      </c>
      <c r="C40" s="7">
        <f>IF(8+$E$17&gt;12,8+$E$17-12,8+$E$17)</f>
        <v>9</v>
      </c>
      <c r="D40" s="7" t="s">
        <v>172</v>
      </c>
      <c r="F40" s="130">
        <f>IF(VLOOKUP($C$40,$C$30:$AQ$38,COLUMN()-2,FALSE)/100*$C$41=Вводные!$BG$13,IF($C$41&lt;5,$C$41,$C$41-1),IF(AND(VLOOKUP($C$40,$C$30:$AQ$38,COLUMN()-2,FALSE)/100*$C$41&lt;2,VLOOKUP($C$40,$C$30:$AQ$38,COLUMN()-2,FALSE)&gt;0),2,VLOOKUP($C$40,$C$30:$AQ$38,COLUMN()-2,FALSE)/100*$C$41))</f>
        <v>4.1999999999999993</v>
      </c>
      <c r="G40" s="130">
        <f>IF(VLOOKUP($C$40,$C$30:$AQ$38,COLUMN()-2,FALSE)/100*$C$41=Вводные!$BG$13,IF($C$41&lt;5,$C$41,$C$41-1),IF(AND(VLOOKUP($C$40,$C$30:$AQ$38,COLUMN()-2,FALSE)/100*$C$41&lt;2,VLOOKUP($C$40,$C$30:$AQ$38,COLUMN()-2,FALSE)&gt;0),2,VLOOKUP($C$40,$C$30:$AQ$38,COLUMN()-2,FALSE)/100*$C$41))</f>
        <v>6</v>
      </c>
      <c r="H40" s="130">
        <f>IF(VLOOKUP($C$40,$C$30:$AQ$38,COLUMN()-2,FALSE)/100*$C$41=Вводные!$BG$13,IF($C$41&lt;5,$C$41,$C$41-1),IF(AND(VLOOKUP($C$40,$C$30:$AQ$38,COLUMN()-2,FALSE)/100*$C$41&lt;2,VLOOKUP($C$40,$C$30:$AQ$38,COLUMN()-2,FALSE)&gt;0),2,VLOOKUP($C$40,$C$30:$AQ$38,COLUMN()-2,FALSE)/100*$C$41))</f>
        <v>6.6000000000000005</v>
      </c>
      <c r="I40" s="130">
        <f>IF(VLOOKUP($C$40,$C$30:$AQ$38,COLUMN()-2,FALSE)/100*$C$41=Вводные!$BG$13,IF($C$41&lt;5,$C$41,$C$41-1),IF(AND(VLOOKUP($C$40,$C$30:$AQ$38,COLUMN()-2,FALSE)/100*$C$41&lt;2,VLOOKUP($C$40,$C$30:$AQ$38,COLUMN()-2,FALSE)&gt;0),2,VLOOKUP($C$40,$C$30:$AQ$38,COLUMN()-2,FALSE)/100*$C$41))</f>
        <v>7.8000000000000007</v>
      </c>
      <c r="J40" s="130">
        <f>IF(VLOOKUP($C$40,$C$30:$AQ$38,COLUMN()-2,FALSE)/100*$C$41=Вводные!$BG$13,IF($C$41&lt;5,$C$41,$C$41-1),IF(AND(VLOOKUP($C$40,$C$30:$AQ$38,COLUMN()-2,FALSE)/100*$C$41&lt;2,VLOOKUP($C$40,$C$30:$AQ$38,COLUMN()-2,FALSE)&gt;0),2,VLOOKUP($C$40,$C$30:$AQ$38,COLUMN()-2,FALSE)/100*$C$41))</f>
        <v>7.1999999999999993</v>
      </c>
      <c r="K40" s="130">
        <f>IF(VLOOKUP($C$40,$C$30:$AQ$38,COLUMN()-2,FALSE)/100*$C$41=Вводные!$BG$13,IF($C$41&lt;5,$C$41,$C$41-1),IF(AND(VLOOKUP($C$40,$C$30:$AQ$38,COLUMN()-2,FALSE)/100*$C$41&lt;2,VLOOKUP($C$40,$C$30:$AQ$38,COLUMN()-2,FALSE)&gt;0),2,VLOOKUP($C$40,$C$30:$AQ$38,COLUMN()-2,FALSE)/100*$C$41))</f>
        <v>7.8000000000000007</v>
      </c>
      <c r="L40" s="130">
        <f>IF(VLOOKUP($C$40,$C$30:$AQ$38,COLUMN()-2,FALSE)/100*$C$41=Вводные!$BG$13,IF($C$41&lt;5,$C$41,$C$41-1),IF(AND(VLOOKUP($C$40,$C$30:$AQ$38,COLUMN()-2,FALSE)/100*$C$41&lt;2,VLOOKUP($C$40,$C$30:$AQ$38,COLUMN()-2,FALSE)&gt;0),2,VLOOKUP($C$40,$C$30:$AQ$38,COLUMN()-2,FALSE)/100*$C$41))</f>
        <v>7.8000000000000007</v>
      </c>
      <c r="M40" s="130">
        <f>IF(VLOOKUP($C$40,$C$30:$AQ$38,COLUMN()-2,FALSE)/100*$C$41=Вводные!$BG$13,IF($C$41&lt;5,$C$41,$C$41-1),IF(AND(VLOOKUP($C$40,$C$30:$AQ$38,COLUMN()-2,FALSE)/100*$C$41&lt;2,VLOOKUP($C$40,$C$30:$AQ$38,COLUMN()-2,FALSE)&gt;0),2,VLOOKUP($C$40,$C$30:$AQ$38,COLUMN()-2,FALSE)/100*$C$41))</f>
        <v>7.8000000000000007</v>
      </c>
      <c r="N40" s="130">
        <f>IF(VLOOKUP($C$40,$C$30:$AQ$38,COLUMN()-2,FALSE)/100*$C$41=Вводные!$BG$13,IF($C$41&lt;5,$C$41,$C$41-1),IF(AND(VLOOKUP($C$40,$C$30:$AQ$38,COLUMN()-2,FALSE)/100*$C$41&lt;2,VLOOKUP($C$40,$C$30:$AQ$38,COLUMN()-2,FALSE)&gt;0),2,VLOOKUP($C$40,$C$30:$AQ$38,COLUMN()-2,FALSE)/100*$C$41))</f>
        <v>7.1999999999999993</v>
      </c>
      <c r="O40" s="130">
        <f>IF(VLOOKUP($C$40,$C$30:$AQ$38,COLUMN()-2,FALSE)/100*$C$41=Вводные!$BG$13,IF($C$41&lt;5,$C$41,$C$41-1),IF(AND(VLOOKUP($C$40,$C$30:$AQ$38,COLUMN()-2,FALSE)/100*$C$41&lt;2,VLOOKUP($C$40,$C$30:$AQ$38,COLUMN()-2,FALSE)&gt;0),2,VLOOKUP($C$40,$C$30:$AQ$38,COLUMN()-2,FALSE)/100*$C$41))</f>
        <v>0</v>
      </c>
      <c r="P40" s="130">
        <f>IF(VLOOKUP($C$40,$C$30:$AQ$38,COLUMN()-2,FALSE)/100*$C$41=Вводные!$BG$13,IF($C$41&lt;5,$C$41,$C$41-1),IF(AND(VLOOKUP($C$40,$C$30:$AQ$38,COLUMN()-2,FALSE)/100*$C$41&lt;2,VLOOKUP($C$40,$C$30:$AQ$38,COLUMN()-2,FALSE)&gt;0),2,VLOOKUP($C$40,$C$30:$AQ$38,COLUMN()-2,FALSE)/100*$C$41))</f>
        <v>0</v>
      </c>
      <c r="Q40" s="130">
        <f>IF(VLOOKUP($C$40,$C$30:$AQ$38,COLUMN()-2,FALSE)/100*$C$41=Вводные!$BG$13,IF($C$41&lt;5,$C$41,$C$41-1),IF(AND(VLOOKUP($C$40,$C$30:$AQ$38,COLUMN()-2,FALSE)/100*$C$41&lt;2,VLOOKUP($C$40,$C$30:$AQ$38,COLUMN()-2,FALSE)&gt;0),2,VLOOKUP($C$40,$C$30:$AQ$38,COLUMN()-2,FALSE)/100*$C$41))</f>
        <v>0</v>
      </c>
      <c r="R40" s="130">
        <f>IF(VLOOKUP($C$40,$C$30:$AQ$38,COLUMN()-2,FALSE)/100*$C$41=Вводные!$BG$13,IF($C$41&lt;5,$C$41,$C$41-1),IF(AND(VLOOKUP($C$40,$C$30:$AQ$38,COLUMN()-2,FALSE)/100*$C$41&lt;2,VLOOKUP($C$40,$C$30:$AQ$38,COLUMN()-2,FALSE)&gt;0),2,VLOOKUP($C$40,$C$30:$AQ$38,COLUMN()-2,FALSE)/100*$C$41))</f>
        <v>0</v>
      </c>
      <c r="S40" s="130">
        <f>IF(VLOOKUP($C$40,$C$30:$AQ$38,COLUMN()-2,FALSE)/100*$C$41=Вводные!$BG$13,IF($C$41&lt;5,$C$41,$C$41-1),IF(AND(VLOOKUP($C$40,$C$30:$AQ$38,COLUMN()-2,FALSE)/100*$C$41&lt;2,VLOOKUP($C$40,$C$30:$AQ$38,COLUMN()-2,FALSE)&gt;0),2,VLOOKUP($C$40,$C$30:$AQ$38,COLUMN()-2,FALSE)/100*$C$41))</f>
        <v>8.16</v>
      </c>
      <c r="T40" s="130">
        <f>IF(VLOOKUP($C$40,$C$30:$AQ$38,COLUMN()-2,FALSE)/100*$C$41=Вводные!$BG$13,IF($C$41&lt;5,$C$41,$C$41-1),IF(AND(VLOOKUP($C$40,$C$30:$AQ$38,COLUMN()-2,FALSE)/100*$C$41&lt;2,VLOOKUP($C$40,$C$30:$AQ$38,COLUMN()-2,FALSE)&gt;0),2,VLOOKUP($C$40,$C$30:$AQ$38,COLUMN()-2,FALSE)/100*$C$41))</f>
        <v>8.76</v>
      </c>
      <c r="U40" s="130">
        <f>IF(VLOOKUP($C$40,$C$30:$AQ$38,COLUMN()-2,FALSE)/100*$C$41=Вводные!$BG$13,IF($C$41&lt;5,$C$41,$C$41-1),IF(AND(VLOOKUP($C$40,$C$30:$AQ$38,COLUMN()-2,FALSE)/100*$C$41&lt;2,VLOOKUP($C$40,$C$30:$AQ$38,COLUMN()-2,FALSE)&gt;0),2,VLOOKUP($C$40,$C$30:$AQ$38,COLUMN()-2,FALSE)/100*$C$41))</f>
        <v>8.76</v>
      </c>
      <c r="V40" s="130">
        <f>IF(VLOOKUP($C$40,$C$30:$AQ$38,COLUMN()-2,FALSE)/100*$C$41=Вводные!$BG$13,IF($C$41&lt;5,$C$41,$C$41-1),IF(AND(VLOOKUP($C$40,$C$30:$AQ$38,COLUMN()-2,FALSE)/100*$C$41&lt;2,VLOOKUP($C$40,$C$30:$AQ$38,COLUMN()-2,FALSE)&gt;0),2,VLOOKUP($C$40,$C$30:$AQ$38,COLUMN()-2,FALSE)/100*$C$41))</f>
        <v>8.76</v>
      </c>
      <c r="W40" s="130">
        <f>IF(VLOOKUP($C$40,$C$30:$AQ$38,COLUMN()-2,FALSE)/100*$C$41=Вводные!$BG$13,IF($C$41&lt;5,$C$41,$C$41-1),IF(AND(VLOOKUP($C$40,$C$30:$AQ$38,COLUMN()-2,FALSE)/100*$C$41&lt;2,VLOOKUP($C$40,$C$30:$AQ$38,COLUMN()-2,FALSE)&gt;0),2,VLOOKUP($C$40,$C$30:$AQ$38,COLUMN()-2,FALSE)/100*$C$41))</f>
        <v>8.0400000000000009</v>
      </c>
      <c r="X40" s="130">
        <f>IF(VLOOKUP($C$40,$C$30:$AQ$38,COLUMN()-2,FALSE)/100*$C$41=Вводные!$BG$13,IF($C$41&lt;5,$C$41,$C$41-1),IF(AND(VLOOKUP($C$40,$C$30:$AQ$38,COLUMN()-2,FALSE)/100*$C$41&lt;2,VLOOKUP($C$40,$C$30:$AQ$38,COLUMN()-2,FALSE)&gt;0),2,VLOOKUP($C$40,$C$30:$AQ$38,COLUMN()-2,FALSE)/100*$C$41))</f>
        <v>8.76</v>
      </c>
      <c r="Y40" s="130">
        <f>IF(VLOOKUP($C$40,$C$30:$AQ$38,COLUMN()-2,FALSE)/100*$C$41=Вводные!$BG$13,IF($C$41&lt;5,$C$41,$C$41-1),IF(AND(VLOOKUP($C$40,$C$30:$AQ$38,COLUMN()-2,FALSE)/100*$C$41&lt;2,VLOOKUP($C$40,$C$30:$AQ$38,COLUMN()-2,FALSE)&gt;0),2,VLOOKUP($C$40,$C$30:$AQ$38,COLUMN()-2,FALSE)/100*$C$41))</f>
        <v>8.76</v>
      </c>
      <c r="Z40" s="130">
        <f>IF(VLOOKUP($C$40,$C$30:$AQ$38,COLUMN()-2,FALSE)/100*$C$41=Вводные!$BG$13,IF($C$41&lt;5,$C$41,$C$41-1),IF(AND(VLOOKUP($C$40,$C$30:$AQ$38,COLUMN()-2,FALSE)/100*$C$41&lt;2,VLOOKUP($C$40,$C$30:$AQ$38,COLUMN()-2,FALSE)&gt;0),2,VLOOKUP($C$40,$C$30:$AQ$38,COLUMN()-2,FALSE)/100*$C$41))</f>
        <v>8.76</v>
      </c>
      <c r="AA40" s="130">
        <f>IF(VLOOKUP($C$40,$C$30:$AQ$38,COLUMN()-2,FALSE)/100*$C$41=Вводные!$BG$13,IF($C$41&lt;5,$C$41,$C$41-1),IF(AND(VLOOKUP($C$40,$C$30:$AQ$38,COLUMN()-2,FALSE)/100*$C$41&lt;2,VLOOKUP($C$40,$C$30:$AQ$38,COLUMN()-2,FALSE)&gt;0),2,VLOOKUP($C$40,$C$30:$AQ$38,COLUMN()-2,FALSE)/100*$C$41))</f>
        <v>8.0400000000000009</v>
      </c>
      <c r="AB40" s="130">
        <f>IF(VLOOKUP($C$40,$C$30:$AQ$38,COLUMN()-2,FALSE)/100*$C$41=Вводные!$BG$13,IF($C$41&lt;5,$C$41,$C$41-1),IF(AND(VLOOKUP($C$40,$C$30:$AQ$38,COLUMN()-2,FALSE)/100*$C$41&lt;2,VLOOKUP($C$40,$C$30:$AQ$38,COLUMN()-2,FALSE)&gt;0),2,VLOOKUP($C$40,$C$30:$AQ$38,COLUMN()-2,FALSE)/100*$C$41))</f>
        <v>0</v>
      </c>
      <c r="AC40" s="130">
        <f>IF(VLOOKUP($C$40,$C$30:$AQ$38,COLUMN()-2,FALSE)/100*$C$41=Вводные!$BG$13,IF($C$41&lt;5,$C$41,$C$41-1),IF(AND(VLOOKUP($C$40,$C$30:$AQ$38,COLUMN()-2,FALSE)/100*$C$41&lt;2,VLOOKUP($C$40,$C$30:$AQ$38,COLUMN()-2,FALSE)&gt;0),2,VLOOKUP($C$40,$C$30:$AQ$38,COLUMN()-2,FALSE)/100*$C$41))</f>
        <v>0</v>
      </c>
      <c r="AD40" s="130">
        <f>IF(VLOOKUP($C$40,$C$30:$AQ$38,COLUMN()-2,FALSE)/100*$C$41=Вводные!$BG$13,IF($C$41&lt;5,$C$41,$C$41-1),IF(AND(VLOOKUP($C$40,$C$30:$AQ$38,COLUMN()-2,FALSE)/100*$C$41&lt;2,VLOOKUP($C$40,$C$30:$AQ$38,COLUMN()-2,FALSE)&gt;0),2,VLOOKUP($C$40,$C$30:$AQ$38,COLUMN()-2,FALSE)/100*$C$41))</f>
        <v>0</v>
      </c>
      <c r="AE40" s="130">
        <f>IF(VLOOKUP($C$40,$C$30:$AQ$38,COLUMN()-2,FALSE)/100*$C$41=Вводные!$BG$13,IF($C$41&lt;5,$C$41,$C$41-1),IF(AND(VLOOKUP($C$40,$C$30:$AQ$38,COLUMN()-2,FALSE)/100*$C$41&lt;2,VLOOKUP($C$40,$C$30:$AQ$38,COLUMN()-2,FALSE)&gt;0),2,VLOOKUP($C$40,$C$30:$AQ$38,COLUMN()-2,FALSE)/100*$C$41))</f>
        <v>0</v>
      </c>
      <c r="AF40" s="130">
        <f>IF(VLOOKUP($C$40,$C$30:$AQ$38,COLUMN()-2,FALSE)/100*$C$41=Вводные!$BG$13,IF($C$41&lt;5,$C$41,$C$41-1),IF(AND(VLOOKUP($C$40,$C$30:$AQ$38,COLUMN()-2,FALSE)/100*$C$41&lt;2,VLOOKUP($C$40,$C$30:$AQ$38,COLUMN()-2,FALSE)&gt;0),2,VLOOKUP($C$40,$C$30:$AQ$38,COLUMN()-2,FALSE)/100*$C$41))</f>
        <v>9.120000000000001</v>
      </c>
      <c r="AG40" s="130">
        <f>IF(VLOOKUP($C$40,$C$30:$AQ$38,COLUMN()-2,FALSE)/100*$C$41=Вводные!$BG$13,IF($C$41&lt;5,$C$41,$C$41-1),IF(AND(VLOOKUP($C$40,$C$30:$AQ$38,COLUMN()-2,FALSE)/100*$C$41&lt;2,VLOOKUP($C$40,$C$30:$AQ$38,COLUMN()-2,FALSE)&gt;0),2,VLOOKUP($C$40,$C$30:$AQ$38,COLUMN()-2,FALSE)/100*$C$41))</f>
        <v>9.84</v>
      </c>
      <c r="AH40" s="130">
        <f>IF(VLOOKUP($C$40,$C$30:$AQ$38,COLUMN()-2,FALSE)/100*$C$41=Вводные!$BG$13,IF($C$41&lt;5,$C$41,$C$41-1),IF(AND(VLOOKUP($C$40,$C$30:$AQ$38,COLUMN()-2,FALSE)/100*$C$41&lt;2,VLOOKUP($C$40,$C$30:$AQ$38,COLUMN()-2,FALSE)&gt;0),2,VLOOKUP($C$40,$C$30:$AQ$38,COLUMN()-2,FALSE)/100*$C$41))</f>
        <v>10.08</v>
      </c>
      <c r="AI40" s="130">
        <f>IF(VLOOKUP($C$40,$C$30:$AQ$38,COLUMN()-2,FALSE)/100*$C$41=Вводные!$BG$13,IF($C$41&lt;5,$C$41,$C$41-1),IF(AND(VLOOKUP($C$40,$C$30:$AQ$38,COLUMN()-2,FALSE)/100*$C$41&lt;2,VLOOKUP($C$40,$C$30:$AQ$38,COLUMN()-2,FALSE)&gt;0),2,VLOOKUP($C$40,$C$30:$AQ$38,COLUMN()-2,FALSE)/100*$C$41))</f>
        <v>10.08</v>
      </c>
      <c r="AJ40" s="130">
        <f>IF(VLOOKUP($C$40,$C$30:$AQ$38,COLUMN()-2,FALSE)/100*$C$41=Вводные!$BG$13,IF($C$41&lt;5,$C$41,$C$41-1),IF(AND(VLOOKUP($C$40,$C$30:$AQ$38,COLUMN()-2,FALSE)/100*$C$41&lt;2,VLOOKUP($C$40,$C$30:$AQ$38,COLUMN()-2,FALSE)&gt;0),2,VLOOKUP($C$40,$C$30:$AQ$38,COLUMN()-2,FALSE)/100*$C$41))</f>
        <v>9.24</v>
      </c>
      <c r="AK40" s="130">
        <f>IF(VLOOKUP($C$40,$C$30:$AQ$38,COLUMN()-2,FALSE)/100*$C$41=Вводные!$BG$13,IF($C$41&lt;5,$C$41,$C$41-1),IF(AND(VLOOKUP($C$40,$C$30:$AQ$38,COLUMN()-2,FALSE)/100*$C$41&lt;2,VLOOKUP($C$40,$C$30:$AQ$38,COLUMN()-2,FALSE)&gt;0),2,VLOOKUP($C$40,$C$30:$AQ$38,COLUMN()-2,FALSE)/100*$C$41))</f>
        <v>10.08</v>
      </c>
      <c r="AL40" s="130">
        <f>IF(VLOOKUP($C$40,$C$30:$AQ$38,COLUMN()-2,FALSE)/100*$C$41=Вводные!$BG$13,IF($C$41&lt;5,$C$41,$C$41-1),IF(AND(VLOOKUP($C$40,$C$30:$AQ$38,COLUMN()-2,FALSE)/100*$C$41&lt;2,VLOOKUP($C$40,$C$30:$AQ$38,COLUMN()-2,FALSE)&gt;0),2,VLOOKUP($C$40,$C$30:$AQ$38,COLUMN()-2,FALSE)/100*$C$41))</f>
        <v>10.08</v>
      </c>
      <c r="AM40" s="130">
        <f>IF(VLOOKUP($C$40,$C$30:$AQ$38,COLUMN()-2,FALSE)/100*$C$41=Вводные!$BG$13,IF($C$41&lt;5,$C$41,$C$41-1),IF(AND(VLOOKUP($C$40,$C$30:$AQ$38,COLUMN()-2,FALSE)/100*$C$41&lt;2,VLOOKUP($C$40,$C$30:$AQ$38,COLUMN()-2,FALSE)&gt;0),2,VLOOKUP($C$40,$C$30:$AQ$38,COLUMN()-2,FALSE)/100*$C$41))</f>
        <v>10.08</v>
      </c>
      <c r="AN40" s="130">
        <f>IF(VLOOKUP($C$40,$C$30:$AQ$38,COLUMN()-2,FALSE)/100*$C$41=Вводные!$BG$13,IF($C$41&lt;5,$C$41,$C$41-1),IF(AND(VLOOKUP($C$40,$C$30:$AQ$38,COLUMN()-2,FALSE)/100*$C$41&lt;2,VLOOKUP($C$40,$C$30:$AQ$38,COLUMN()-2,FALSE)&gt;0),2,VLOOKUP($C$40,$C$30:$AQ$38,COLUMN()-2,FALSE)/100*$C$41))</f>
        <v>9.24</v>
      </c>
      <c r="AO40" s="130">
        <f>IF(VLOOKUP($C$40,$C$30:$AQ$38,COLUMN()-2,FALSE)/100*$C$41=Вводные!$BG$13,IF($C$41&lt;5,$C$41,$C$41-1),IF(AND(VLOOKUP($C$40,$C$30:$AQ$38,COLUMN()-2,FALSE)/100*$C$41&lt;2,VLOOKUP($C$40,$C$30:$AQ$38,COLUMN()-2,FALSE)&gt;0),2,VLOOKUP($C$40,$C$30:$AQ$38,COLUMN()-2,FALSE)/100*$C$41))</f>
        <v>0</v>
      </c>
      <c r="AP40" s="130">
        <f>IF(VLOOKUP($C$40,$C$30:$AQ$38,COLUMN()-2,FALSE)/100*$C$41=Вводные!$BG$13,IF($C$41&lt;5,$C$41,$C$41-1),IF(AND(VLOOKUP($C$40,$C$30:$AQ$38,COLUMN()-2,FALSE)/100*$C$41&lt;2,VLOOKUP($C$40,$C$30:$AQ$38,COLUMN()-2,FALSE)&gt;0),2,VLOOKUP($C$40,$C$30:$AQ$38,COLUMN()-2,FALSE)/100*$C$41))</f>
        <v>0</v>
      </c>
      <c r="AQ40" s="130">
        <f>IF(VLOOKUP($C$40,$C$30:$AQ$38,COLUMN()-2,FALSE)/100*$C$41=Вводные!$BG$13,IF($C$41&lt;5,$C$41,$C$41-1),IF(AND(VLOOKUP($C$40,$C$30:$AQ$38,COLUMN()-2,FALSE)/100*$C$41&lt;2,VLOOKUP($C$40,$C$30:$AQ$38,COLUMN()-2,FALSE)&gt;0),2,VLOOKUP($C$40,$C$30:$AQ$38,COLUMN()-2,FALSE)/100*$C$41))</f>
        <v>0</v>
      </c>
    </row>
    <row r="41" spans="1:44" x14ac:dyDescent="0.25">
      <c r="A41" s="110" t="s">
        <v>69</v>
      </c>
      <c r="C41" s="7">
        <f>Вводные!$BG$13*Вводные!$BG$12</f>
        <v>12</v>
      </c>
      <c r="D41" s="7" t="s">
        <v>173</v>
      </c>
      <c r="F41" s="130">
        <f>IF(F40&gt;Вводные!$BG$13,Вводные!$BG$13,F40)</f>
        <v>4.1999999999999993</v>
      </c>
      <c r="G41" s="130">
        <f>IF(G40&gt;Вводные!$BG$13,Вводные!$BG$13,G40)</f>
        <v>6</v>
      </c>
      <c r="H41" s="130">
        <f>IF(H40&gt;Вводные!$BG$13,Вводные!$BG$13,H40)</f>
        <v>6.6000000000000005</v>
      </c>
      <c r="I41" s="130">
        <f>IF(I40&gt;Вводные!$BG$13,Вводные!$BG$13,I40)</f>
        <v>7.8000000000000007</v>
      </c>
      <c r="J41" s="130">
        <f>IF(J40&gt;Вводные!$BG$13,Вводные!$BG$13,J40)</f>
        <v>7.1999999999999993</v>
      </c>
      <c r="K41" s="130">
        <f>IF(K40&gt;Вводные!$BG$13,Вводные!$BG$13,K40)</f>
        <v>7.8000000000000007</v>
      </c>
      <c r="L41" s="130">
        <f>IF(L40&gt;Вводные!$BG$13,Вводные!$BG$13,L40)</f>
        <v>7.8000000000000007</v>
      </c>
      <c r="M41" s="130">
        <f>IF(M40&gt;Вводные!$BG$13,Вводные!$BG$13,M40)</f>
        <v>7.8000000000000007</v>
      </c>
      <c r="N41" s="130">
        <f>IF(N40&gt;Вводные!$BG$13,Вводные!$BG$13,N40)</f>
        <v>7.1999999999999993</v>
      </c>
      <c r="O41" s="130">
        <f>IF(O40&gt;Вводные!$BG$13,Вводные!$BG$13,O40)</f>
        <v>0</v>
      </c>
      <c r="P41" s="130">
        <f>IF(P40&gt;Вводные!$BG$13,Вводные!$BG$13,P40)</f>
        <v>0</v>
      </c>
      <c r="Q41" s="130">
        <f>IF(Q40&gt;Вводные!$BG$13,Вводные!$BG$13,Q40)</f>
        <v>0</v>
      </c>
      <c r="R41" s="130">
        <f>IF(R40&gt;Вводные!$BG$13,Вводные!$BG$13,R40)</f>
        <v>0</v>
      </c>
      <c r="S41" s="130">
        <f>IF(S40&gt;Вводные!$BG$13,Вводные!$BG$13,S40)</f>
        <v>8.16</v>
      </c>
      <c r="T41" s="130">
        <f>IF(T40&gt;Вводные!$BG$13,Вводные!$BG$13,T40)</f>
        <v>8.76</v>
      </c>
      <c r="U41" s="130">
        <f>IF(U40&gt;Вводные!$BG$13,Вводные!$BG$13,U40)</f>
        <v>8.76</v>
      </c>
      <c r="V41" s="130">
        <f>IF(V40&gt;Вводные!$BG$13,Вводные!$BG$13,V40)</f>
        <v>8.76</v>
      </c>
      <c r="W41" s="130">
        <f>IF(W40&gt;Вводные!$BG$13,Вводные!$BG$13,W40)</f>
        <v>8.0400000000000009</v>
      </c>
      <c r="X41" s="130">
        <f>IF(X40&gt;Вводные!$BG$13,Вводные!$BG$13,X40)</f>
        <v>8.76</v>
      </c>
      <c r="Y41" s="130">
        <f>IF(Y40&gt;Вводные!$BG$13,Вводные!$BG$13,Y40)</f>
        <v>8.76</v>
      </c>
      <c r="Z41" s="130">
        <f>IF(Z40&gt;Вводные!$BG$13,Вводные!$BG$13,Z40)</f>
        <v>8.76</v>
      </c>
      <c r="AA41" s="130">
        <f>IF(AA40&gt;Вводные!$BG$13,Вводные!$BG$13,AA40)</f>
        <v>8.0400000000000009</v>
      </c>
      <c r="AB41" s="130">
        <f>IF(AB40&gt;Вводные!$BG$13,Вводные!$BG$13,AB40)</f>
        <v>0</v>
      </c>
      <c r="AC41" s="130">
        <f>IF(AC40&gt;Вводные!$BG$13,Вводные!$BG$13,AC40)</f>
        <v>0</v>
      </c>
      <c r="AD41" s="130">
        <f>IF(AD40&gt;Вводные!$BG$13,Вводные!$BG$13,AD40)</f>
        <v>0</v>
      </c>
      <c r="AE41" s="130">
        <f>IF(AE40&gt;Вводные!$BG$13,Вводные!$BG$13,AE40)</f>
        <v>0</v>
      </c>
      <c r="AF41" s="130">
        <f>IF(AF40&gt;Вводные!$BG$13,Вводные!$BG$13,AF40)</f>
        <v>9.120000000000001</v>
      </c>
      <c r="AG41" s="130">
        <f>IF(AG40&gt;Вводные!$BG$13,Вводные!$BG$13,AG40)</f>
        <v>9.84</v>
      </c>
      <c r="AH41" s="130">
        <f>IF(AH40&gt;Вводные!$BG$13,Вводные!$BG$13,AH40)</f>
        <v>10.08</v>
      </c>
      <c r="AI41" s="130">
        <f>IF(AI40&gt;Вводные!$BG$13,Вводные!$BG$13,AI40)</f>
        <v>10.08</v>
      </c>
      <c r="AJ41" s="130">
        <f>IF(AJ40&gt;Вводные!$BG$13,Вводные!$BG$13,AJ40)</f>
        <v>9.24</v>
      </c>
      <c r="AK41" s="130">
        <f>IF(AK40&gt;Вводные!$BG$13,Вводные!$BG$13,AK40)</f>
        <v>10.08</v>
      </c>
      <c r="AL41" s="130">
        <f>IF(AL40&gt;Вводные!$BG$13,Вводные!$BG$13,AL40)</f>
        <v>10.08</v>
      </c>
      <c r="AM41" s="130">
        <f>IF(AM40&gt;Вводные!$BG$13,Вводные!$BG$13,AM40)</f>
        <v>10.08</v>
      </c>
      <c r="AN41" s="130">
        <f>IF(AN40&gt;Вводные!$BG$13,Вводные!$BG$13,AN40)</f>
        <v>9.24</v>
      </c>
      <c r="AO41" s="130">
        <f>IF(AO40&gt;Вводные!$BG$13,Вводные!$BG$13,AO40)</f>
        <v>0</v>
      </c>
      <c r="AP41" s="130">
        <f>IF(AP40&gt;Вводные!$BG$13,Вводные!$BG$13,AP40)</f>
        <v>0</v>
      </c>
      <c r="AQ41" s="130">
        <f>IF(AQ40&gt;Вводные!$BG$13,Вводные!$BG$13,AQ40)</f>
        <v>0</v>
      </c>
      <c r="AR41" s="130"/>
    </row>
    <row r="42" spans="1:44" x14ac:dyDescent="0.25">
      <c r="A42" s="82" t="s">
        <v>68</v>
      </c>
      <c r="F42" s="130">
        <f>F41*Вводные!$BG$14</f>
        <v>83.999999999999986</v>
      </c>
      <c r="G42" s="130">
        <f>G41*Вводные!$BG$14</f>
        <v>120</v>
      </c>
      <c r="H42" s="130">
        <f>H41*Вводные!$BG$14</f>
        <v>132</v>
      </c>
      <c r="I42" s="130">
        <f>I41*Вводные!$BG$14</f>
        <v>156</v>
      </c>
      <c r="J42" s="130">
        <f>J41*Вводные!$BG$14</f>
        <v>144</v>
      </c>
      <c r="K42" s="130">
        <f>K41*Вводные!$BG$14</f>
        <v>156</v>
      </c>
      <c r="L42" s="130">
        <f>L41*Вводные!$BG$14</f>
        <v>156</v>
      </c>
      <c r="M42" s="130">
        <f>M41*Вводные!$BG$14</f>
        <v>156</v>
      </c>
      <c r="N42" s="130">
        <f>N41*Вводные!$BG$14</f>
        <v>144</v>
      </c>
      <c r="O42" s="130">
        <f>O41*Вводные!$BG$14</f>
        <v>0</v>
      </c>
      <c r="P42" s="130">
        <f>P41*Вводные!$BG$14</f>
        <v>0</v>
      </c>
      <c r="Q42" s="130">
        <f>Q41*Вводные!$BG$14</f>
        <v>0</v>
      </c>
      <c r="R42" s="130"/>
      <c r="S42" s="130">
        <f>S41*Вводные!$BG$14</f>
        <v>163.19999999999999</v>
      </c>
      <c r="T42" s="130">
        <f>T41*Вводные!$BG$14</f>
        <v>175.2</v>
      </c>
      <c r="U42" s="130">
        <f>U41*Вводные!$BG$14</f>
        <v>175.2</v>
      </c>
      <c r="V42" s="130">
        <f>V41*Вводные!$BG$14</f>
        <v>175.2</v>
      </c>
      <c r="W42" s="130">
        <f>W41*Вводные!$BG$14</f>
        <v>160.80000000000001</v>
      </c>
      <c r="X42" s="130">
        <f>X41*Вводные!$BG$14</f>
        <v>175.2</v>
      </c>
      <c r="Y42" s="130">
        <f>Y41*Вводные!$BG$14</f>
        <v>175.2</v>
      </c>
      <c r="Z42" s="130">
        <f>Z41*Вводные!$BG$14</f>
        <v>175.2</v>
      </c>
      <c r="AA42" s="130">
        <f>AA41*Вводные!$BG$14</f>
        <v>160.80000000000001</v>
      </c>
      <c r="AB42" s="130">
        <f>AB41*Вводные!$BG$14</f>
        <v>0</v>
      </c>
      <c r="AC42" s="130">
        <f>AC41*Вводные!$BG$14</f>
        <v>0</v>
      </c>
      <c r="AD42" s="130">
        <f>AD41*Вводные!$BG$14</f>
        <v>0</v>
      </c>
      <c r="AE42" s="130">
        <f>AE41*Вводные!$BG$14</f>
        <v>0</v>
      </c>
      <c r="AF42" s="130">
        <f>AF41*Вводные!$BG$14</f>
        <v>182.40000000000003</v>
      </c>
      <c r="AG42" s="130">
        <f>AG41*Вводные!$BG$14</f>
        <v>196.8</v>
      </c>
      <c r="AH42" s="130">
        <f>AH41*Вводные!$BG$14</f>
        <v>201.6</v>
      </c>
      <c r="AI42" s="130">
        <f>AI41*Вводные!$BG$14</f>
        <v>201.6</v>
      </c>
      <c r="AJ42" s="130">
        <f>AJ41*Вводные!$BG$14</f>
        <v>184.8</v>
      </c>
      <c r="AK42" s="130">
        <f>AK41*Вводные!$BG$14</f>
        <v>201.6</v>
      </c>
      <c r="AL42" s="130">
        <f>AL41*Вводные!$BG$14</f>
        <v>201.6</v>
      </c>
      <c r="AM42" s="130">
        <f>AM41*Вводные!$BG$14</f>
        <v>201.6</v>
      </c>
      <c r="AN42" s="130">
        <f>AN41*Вводные!$BG$14</f>
        <v>184.8</v>
      </c>
      <c r="AO42" s="130">
        <f>AO41*Вводные!$BG$14</f>
        <v>0</v>
      </c>
      <c r="AP42" s="130">
        <f>AP41*Вводные!$BG$14</f>
        <v>0</v>
      </c>
      <c r="AQ42" s="130">
        <f>AQ41*Вводные!$BG$14</f>
        <v>0</v>
      </c>
    </row>
    <row r="43" spans="1:44" x14ac:dyDescent="0.25">
      <c r="A43" s="82" t="s">
        <v>74</v>
      </c>
      <c r="F43" s="105">
        <f>Вводные!$BG$15*F42</f>
        <v>449924.99999999994</v>
      </c>
      <c r="G43" s="105">
        <f>Вводные!$BG$15*G42</f>
        <v>642750</v>
      </c>
      <c r="H43" s="105">
        <f>Вводные!$BG$15*H42</f>
        <v>707025</v>
      </c>
      <c r="I43" s="105">
        <f>Вводные!$BG$15*I42</f>
        <v>835575</v>
      </c>
      <c r="J43" s="105">
        <f>Вводные!$BG$15*J42</f>
        <v>771300</v>
      </c>
      <c r="K43" s="105">
        <f>Вводные!$BG$15*K42</f>
        <v>835575</v>
      </c>
      <c r="L43" s="105">
        <f>Вводные!$BG$15*L42</f>
        <v>835575</v>
      </c>
      <c r="M43" s="105">
        <f>Вводные!$BG$15*M42</f>
        <v>835575</v>
      </c>
      <c r="N43" s="105">
        <f>Вводные!$BG$15*N42</f>
        <v>771300</v>
      </c>
      <c r="O43" s="105">
        <f>Вводные!$BG$15*O42</f>
        <v>0</v>
      </c>
      <c r="P43" s="105">
        <f>Вводные!$BG$15*P42</f>
        <v>0</v>
      </c>
      <c r="Q43" s="105">
        <f>Вводные!$BG$15*Q42</f>
        <v>0</v>
      </c>
      <c r="R43" s="111"/>
      <c r="S43" s="105">
        <f>Вводные!$BG$15*S42</f>
        <v>874139.99999999988</v>
      </c>
      <c r="T43" s="105">
        <f>Вводные!$BG$15*T42</f>
        <v>938414.99999999988</v>
      </c>
      <c r="U43" s="105">
        <f>Вводные!$BG$15*U42</f>
        <v>938414.99999999988</v>
      </c>
      <c r="V43" s="105">
        <f>Вводные!$BG$15*V42</f>
        <v>938414.99999999988</v>
      </c>
      <c r="W43" s="105">
        <f>Вводные!$BG$15*W42</f>
        <v>861285.00000000012</v>
      </c>
      <c r="X43" s="105">
        <f>Вводные!$BG$15*X42</f>
        <v>938414.99999999988</v>
      </c>
      <c r="Y43" s="105">
        <f>Вводные!$BG$15*Y42</f>
        <v>938414.99999999988</v>
      </c>
      <c r="Z43" s="105">
        <f>Вводные!$BG$15*Z42</f>
        <v>938414.99999999988</v>
      </c>
      <c r="AA43" s="105">
        <f>Вводные!$BG$15*AA42</f>
        <v>861285.00000000012</v>
      </c>
      <c r="AB43" s="105">
        <f>Вводные!$BG$15*AB42</f>
        <v>0</v>
      </c>
      <c r="AC43" s="105">
        <f>Вводные!$BG$15*AC42</f>
        <v>0</v>
      </c>
      <c r="AD43" s="105">
        <f>Вводные!$BG$15*AD42</f>
        <v>0</v>
      </c>
      <c r="AE43" s="105">
        <f>Вводные!$BG$15*AE42</f>
        <v>0</v>
      </c>
      <c r="AF43" s="105">
        <f>Вводные!$BG$15*AF42</f>
        <v>976980.00000000023</v>
      </c>
      <c r="AG43" s="105">
        <f>Вводные!$BG$15*AG42</f>
        <v>1054110</v>
      </c>
      <c r="AH43" s="105">
        <f>Вводные!$BG$15*AH42</f>
        <v>1079820</v>
      </c>
      <c r="AI43" s="105">
        <f>Вводные!$BG$15*AI42</f>
        <v>1079820</v>
      </c>
      <c r="AJ43" s="105">
        <f>Вводные!$BG$15*AJ42</f>
        <v>989835.00000000012</v>
      </c>
      <c r="AK43" s="105">
        <f>Вводные!$BG$15*AK42</f>
        <v>1079820</v>
      </c>
      <c r="AL43" s="105">
        <f>Вводные!$BG$15*AL42</f>
        <v>1079820</v>
      </c>
      <c r="AM43" s="105">
        <f>Вводные!$BG$15*AM42</f>
        <v>1079820</v>
      </c>
      <c r="AN43" s="105">
        <f>Вводные!$BG$15*AN42</f>
        <v>989835.00000000012</v>
      </c>
      <c r="AO43" s="105">
        <f>Вводные!$BG$15*AO42</f>
        <v>0</v>
      </c>
      <c r="AP43" s="105">
        <f>Вводные!$BG$15*AP42</f>
        <v>0</v>
      </c>
      <c r="AQ43" s="105">
        <f>Вводные!$BG$15*AQ42</f>
        <v>0</v>
      </c>
      <c r="AR43" s="105"/>
    </row>
    <row r="44" spans="1:44" x14ac:dyDescent="0.25">
      <c r="A44" s="110"/>
      <c r="F44" s="105"/>
      <c r="G44" s="105"/>
      <c r="H44" s="105"/>
      <c r="I44" s="105"/>
      <c r="J44" s="105"/>
      <c r="K44" s="105"/>
      <c r="L44" s="105"/>
      <c r="M44" s="105"/>
      <c r="N44" s="105"/>
      <c r="O44" s="105"/>
      <c r="P44" s="105"/>
      <c r="Q44" s="105"/>
      <c r="R44" s="111"/>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50" spans="1:43" x14ac:dyDescent="0.25">
      <c r="A50" s="82" t="s">
        <v>101</v>
      </c>
      <c r="E50" s="111">
        <f>IF($D$17-COLUMN()+5=0,IF(ISERROR(VLOOKUP('Выбор франшизы'!$D$7,Вспомогательный!$J$16:$L$18,2))=TRUE,0,VLOOKUP('Выбор франшизы'!$D$7,Вспомогательный!$J$16:$L$18,2)),0)</f>
        <v>0</v>
      </c>
      <c r="F50" s="111">
        <f>IF($D$17-COLUMN()+5=0,IF(ISERROR(VLOOKUP('Выбор франшизы'!$D$7,Вспомогательный!$J$16:$L$18,2))=TRUE,0,VLOOKUP('Выбор франшизы'!$D$7,Вспомогательный!$J$16:$L$18,2)),0)</f>
        <v>0</v>
      </c>
      <c r="G50" s="111">
        <f>IF($D$17-COLUMN()+5=0,IF(ISERROR(VLOOKUP('Выбор франшизы'!$D$7,Вспомогательный!$J$16:$L$18,2))=TRUE,0,VLOOKUP('Выбор франшизы'!$D$7,Вспомогательный!$J$16:$L$18,2)),0)</f>
        <v>0</v>
      </c>
      <c r="H50" s="111">
        <f>IF($D$17-COLUMN()+5=0,IF(ISERROR(VLOOKUP('Выбор франшизы'!$D$7,Вспомогательный!$J$16:$L$18,2))=TRUE,0,VLOOKUP('Выбор франшизы'!$D$7,Вспомогательный!$J$16:$L$18,2)),0)</f>
        <v>0</v>
      </c>
      <c r="I50" s="111">
        <f>IF($D$17-COLUMN()+5=0,IF(ISERROR(VLOOKUP('Выбор франшизы'!$D$7,Вспомогательный!$J$16:$L$18,2))=TRUE,0,VLOOKUP('Выбор франшизы'!$D$7,Вспомогательный!$J$16:$L$18,2)),0)</f>
        <v>0</v>
      </c>
      <c r="J50" s="111">
        <f>IF($D$17-COLUMN()+5=0,IF(ISERROR(VLOOKUP('Выбор франшизы'!$D$7,Вспомогательный!$J$16:$L$18,2))=TRUE,0,VLOOKUP('Выбор франшизы'!$D$7,Вспомогательный!$J$16:$L$18,2)),0)</f>
        <v>0</v>
      </c>
      <c r="K50" s="111">
        <f>IF($D$17-COLUMN()+5=0,IF(ISERROR(VLOOKUP('Выбор франшизы'!$D$7,Вспомогательный!$J$16:$L$18,2))=TRUE,0,VLOOKUP('Выбор франшизы'!$D$7,Вспомогательный!$J$16:$L$18,2)),0)</f>
        <v>0</v>
      </c>
      <c r="L50" s="111">
        <f>IF($D$17-COLUMN()+5=0,IF(ISERROR(VLOOKUP('Выбор франшизы'!$D$7,Вспомогательный!$J$16:$L$18,2))=TRUE,0,VLOOKUP('Выбор франшизы'!$D$7,Вспомогательный!$J$16:$L$18,2)),0)</f>
        <v>0</v>
      </c>
      <c r="M50" s="111">
        <f>IF($D$17-COLUMN()+5=0,IF(ISERROR(VLOOKUP('Выбор франшизы'!$D$7,Вспомогательный!$J$16:$L$18,2))=TRUE,0,VLOOKUP('Выбор франшизы'!$D$7,Вспомогательный!$J$16:$L$18,2)),0)</f>
        <v>0</v>
      </c>
      <c r="N50" s="111">
        <f>IF($D$17-COLUMN()+5=0,IF(ISERROR(VLOOKUP('Выбор франшизы'!$D$7,Вспомогательный!$J$16:$L$18,2))=TRUE,0,VLOOKUP('Выбор франшизы'!$D$7,Вспомогательный!$J$16:$L$18,2)),0)</f>
        <v>0</v>
      </c>
      <c r="O50" s="111"/>
      <c r="P50" s="111"/>
      <c r="Q50" s="111"/>
      <c r="R50" s="111"/>
      <c r="S50" s="111">
        <f>IF($D$17-COLUMN()+5=0,IF(ISERROR(VLOOKUP('Выбор франшизы'!$D$7,Вспомогательный!$J$16:$L$18,2))=TRUE,0,VLOOKUP('Выбор франшизы'!$D$7,Вспомогательный!$J$16:$L$18,2)),0)</f>
        <v>0</v>
      </c>
      <c r="T50" s="111">
        <f>IF($D$17-COLUMN()+5=0,IF(ISERROR(VLOOKUP('Выбор франшизы'!$D$7,Вспомогательный!$J$16:$L$18,2))=TRUE,0,VLOOKUP('Выбор франшизы'!$D$7,Вспомогательный!$J$16:$L$18,2)),0)</f>
        <v>0</v>
      </c>
      <c r="U50" s="111">
        <f>IF($D$17-COLUMN()+5=0,IF(ISERROR(VLOOKUP('Выбор франшизы'!$D$7,Вспомогательный!$J$16:$L$18,2))=TRUE,0,VLOOKUP('Выбор франшизы'!$D$7,Вспомогательный!$J$16:$L$18,2)),0)</f>
        <v>0</v>
      </c>
      <c r="V50" s="111">
        <f>IF($D$17-COLUMN()+5=0,IF(ISERROR(VLOOKUP('Выбор франшизы'!$D$7,Вспомогательный!$J$16:$L$18,2))=TRUE,0,VLOOKUP('Выбор франшизы'!$D$7,Вспомогательный!$J$16:$L$18,2)),0)</f>
        <v>0</v>
      </c>
      <c r="W50" s="111">
        <f>IF($D$17-COLUMN()+5=0,IF(ISERROR(VLOOKUP('Выбор франшизы'!$D$7,Вспомогательный!$J$16:$L$18,2))=TRUE,0,VLOOKUP('Выбор франшизы'!$D$7,Вспомогательный!$J$16:$L$18,2)),0)</f>
        <v>0</v>
      </c>
      <c r="X50" s="111">
        <f>IF($D$17-COLUMN()+5=0,IF(ISERROR(VLOOKUP('Выбор франшизы'!$D$7,Вспомогательный!$J$16:$L$18,2))=TRUE,0,VLOOKUP('Выбор франшизы'!$D$7,Вспомогательный!$J$16:$L$18,2)),0)</f>
        <v>0</v>
      </c>
      <c r="Y50" s="111">
        <f>IF($D$17-COLUMN()+5=0,IF(ISERROR(VLOOKUP('Выбор франшизы'!$D$7,Вспомогательный!$J$16:$L$18,2))=TRUE,0,VLOOKUP('Выбор франшизы'!$D$7,Вспомогательный!$J$16:$L$18,2)),0)</f>
        <v>0</v>
      </c>
      <c r="Z50" s="111">
        <f>IF($D$17-COLUMN()+5=0,IF(ISERROR(VLOOKUP('Выбор франшизы'!$D$7,Вспомогательный!$J$16:$L$18,2))=TRUE,0,VLOOKUP('Выбор франшизы'!$D$7,Вспомогательный!$J$16:$L$18,2)),0)</f>
        <v>0</v>
      </c>
      <c r="AA50" s="111">
        <f>IF($D$17-COLUMN()+5=0,IF(ISERROR(VLOOKUP('Выбор франшизы'!$D$7,Вспомогательный!$J$16:$L$18,2))=TRUE,0,VLOOKUP('Выбор франшизы'!$D$7,Вспомогательный!$J$16:$L$18,2)),0)</f>
        <v>0</v>
      </c>
      <c r="AB50" s="111"/>
      <c r="AC50" s="111"/>
      <c r="AD50" s="111"/>
      <c r="AE50" s="111"/>
      <c r="AF50" s="111">
        <f>IF($D$17-COLUMN()+5=0,IF(ISERROR(VLOOKUP('Выбор франшизы'!$D$7,Вспомогательный!$J$16:$L$18,2))=TRUE,0,VLOOKUP('Выбор франшизы'!$D$7,Вспомогательный!$J$16:$L$18,2)),0)</f>
        <v>0</v>
      </c>
      <c r="AG50" s="111">
        <f>IF($D$17-COLUMN()+5=0,IF(ISERROR(VLOOKUP('Выбор франшизы'!$D$7,Вспомогательный!$J$16:$L$18,2))=TRUE,0,VLOOKUP('Выбор франшизы'!$D$7,Вспомогательный!$J$16:$L$18,2)),0)</f>
        <v>0</v>
      </c>
      <c r="AH50" s="111">
        <f>IF($D$17-COLUMN()+5=0,IF(ISERROR(VLOOKUP('Выбор франшизы'!$D$7,Вспомогательный!$J$16:$L$18,2))=TRUE,0,VLOOKUP('Выбор франшизы'!$D$7,Вспомогательный!$J$16:$L$18,2)),0)</f>
        <v>0</v>
      </c>
      <c r="AI50" s="111">
        <f>IF($D$17-COLUMN()+5=0,IF(ISERROR(VLOOKUP('Выбор франшизы'!$D$7,Вспомогательный!$J$16:$L$18,2))=TRUE,0,VLOOKUP('Выбор франшизы'!$D$7,Вспомогательный!$J$16:$L$18,2)),0)</f>
        <v>0</v>
      </c>
      <c r="AJ50" s="111">
        <f>IF($D$17-COLUMN()+5=0,IF(ISERROR(VLOOKUP('Выбор франшизы'!$D$7,Вспомогательный!$J$16:$L$18,2))=TRUE,0,VLOOKUP('Выбор франшизы'!$D$7,Вспомогательный!$J$16:$L$18,2)),0)</f>
        <v>0</v>
      </c>
      <c r="AK50" s="111">
        <f>IF($D$17-COLUMN()+5=0,IF(ISERROR(VLOOKUP('Выбор франшизы'!$D$7,Вспомогательный!$J$16:$L$18,2))=TRUE,0,VLOOKUP('Выбор франшизы'!$D$7,Вспомогательный!$J$16:$L$18,2)),0)</f>
        <v>0</v>
      </c>
      <c r="AL50" s="111">
        <f>IF($D$17-COLUMN()+5=0,IF(ISERROR(VLOOKUP('Выбор франшизы'!$D$7,Вспомогательный!$J$16:$L$18,2))=TRUE,0,VLOOKUP('Выбор франшизы'!$D$7,Вспомогательный!$J$16:$L$18,2)),0)</f>
        <v>0</v>
      </c>
      <c r="AM50" s="111">
        <f>IF($D$17-COLUMN()+5=0,IF(ISERROR(VLOOKUP('Выбор франшизы'!$D$7,Вспомогательный!$J$16:$L$18,2))=TRUE,0,VLOOKUP('Выбор франшизы'!$D$7,Вспомогательный!$J$16:$L$18,2)),0)</f>
        <v>0</v>
      </c>
      <c r="AN50" s="111">
        <f>IF($D$17-COLUMN()+5=0,IF(ISERROR(VLOOKUP('Выбор франшизы'!$D$7,Вспомогательный!$J$16:$L$18,2))=TRUE,0,VLOOKUP('Выбор франшизы'!$D$7,Вспомогательный!$J$16:$L$18,2)),0)</f>
        <v>0</v>
      </c>
      <c r="AO50" s="111">
        <f>IF($D$17-COLUMN()+5=0,IF(ISERROR(VLOOKUP('Выбор франшизы'!$D$7,Вспомогательный!$J$16:$L$18,2))=TRUE,0,VLOOKUP('Выбор франшизы'!$D$7,Вспомогательный!$J$16:$L$18,2)),0)</f>
        <v>0</v>
      </c>
      <c r="AP50" s="111">
        <f>IF($D$17-COLUMN()+5=0,IF(ISERROR(VLOOKUP('Выбор франшизы'!$D$7,Вспомогательный!$J$16:$L$18,2))=TRUE,0,VLOOKUP('Выбор франшизы'!$D$7,Вспомогательный!$J$16:$L$18,2)),0)</f>
        <v>0</v>
      </c>
      <c r="AQ50" s="111">
        <f>IF($D$17-COLUMN()+5=0,IF(ISERROR(VLOOKUP('Выбор франшизы'!$D$7,Вспомогательный!$J$16:$L$18,2))=TRUE,0,VLOOKUP('Выбор франшизы'!$D$7,Вспомогательный!$J$16:$L$18,2)),0)</f>
        <v>0</v>
      </c>
    </row>
    <row r="51" spans="1:43" x14ac:dyDescent="0.25">
      <c r="A51" s="131" t="s">
        <v>193</v>
      </c>
      <c r="E51" s="111">
        <f>IF($E$17+1-COLUMN()+5&lt;=0,IF(ISERROR(VLOOKUP('Выбор франшизы'!$D$7,Вспомогательный!$J$16:$L$18,3))=TRUE,0,VLOOKUP('Выбор франшизы'!$D$7,Вспомогательный!$J$16:$L$18,3)),0)</f>
        <v>0</v>
      </c>
      <c r="F51" s="111">
        <f>IF($E$17+1-COLUMN()+5&lt;=0,IF(ISERROR(VLOOKUP('Выбор франшизы'!$D$7,Вспомогательный!$J$16:$L$18,3))=TRUE,0,VLOOKUP('Выбор франшизы'!$D$7,Вспомогательный!$J$16:$L$18,3)),0)</f>
        <v>0</v>
      </c>
      <c r="G51" s="111">
        <f>IF($E$17+1-COLUMN()+5&lt;=0,IF(ISERROR(VLOOKUP('Выбор франшизы'!$D$7,Вспомогательный!$J$16:$L$18,3))=TRUE,0,VLOOKUP('Выбор франшизы'!$D$7,Вспомогательный!$J$16:$L$18,3)),0)</f>
        <v>0</v>
      </c>
      <c r="H51" s="111">
        <f>IF($E$17+1-COLUMN()+5&lt;=0,IF(ISERROR(VLOOKUP('Выбор франшизы'!$D$7,Вспомогательный!$J$16:$L$18,3))=TRUE,0,VLOOKUP('Выбор франшизы'!$D$7,Вспомогательный!$J$16:$L$18,3)),0)</f>
        <v>0</v>
      </c>
      <c r="I51" s="111">
        <f>IF($E$17+1-COLUMN()+5&lt;=0,IF(ISERROR(VLOOKUP('Выбор франшизы'!$D$7,Вспомогательный!$J$16:$L$18,3))=TRUE,0,VLOOKUP('Выбор франшизы'!$D$7,Вспомогательный!$J$16:$L$18,3)),0)</f>
        <v>0</v>
      </c>
      <c r="J51" s="111">
        <f>IF($E$17+1-COLUMN()+5&lt;=0,IF(ISERROR(VLOOKUP('Выбор франшизы'!$D$7,Вспомогательный!$J$16:$L$18,3))=TRUE,0,VLOOKUP('Выбор франшизы'!$D$7,Вспомогательный!$J$16:$L$18,3)),0)</f>
        <v>0</v>
      </c>
      <c r="K51" s="111">
        <f>IF($E$17+1-COLUMN()+5&lt;=0,IF(ISERROR(VLOOKUP('Выбор франшизы'!$D$7,Вспомогательный!$J$16:$L$18,3))=TRUE,0,VLOOKUP('Выбор франшизы'!$D$7,Вспомогательный!$J$16:$L$18,3)),0)</f>
        <v>0</v>
      </c>
      <c r="L51" s="111">
        <f>IF($E$17+1-COLUMN()+5&lt;=0,IF(ISERROR(VLOOKUP('Выбор франшизы'!$D$7,Вспомогательный!$J$16:$L$18,3))=TRUE,0,VLOOKUP('Выбор франшизы'!$D$7,Вспомогательный!$J$16:$L$18,3)),0)</f>
        <v>0</v>
      </c>
      <c r="M51" s="111">
        <f>IF($E$17+1-COLUMN()+5&lt;=0,IF(ISERROR(VLOOKUP('Выбор франшизы'!$D$7,Вспомогательный!$J$16:$L$18,3))=TRUE,0,VLOOKUP('Выбор франшизы'!$D$7,Вспомогательный!$J$16:$L$18,3)),0)</f>
        <v>0</v>
      </c>
      <c r="N51" s="111">
        <f>IF($E$17+1-COLUMN()+5&lt;=0,IF(ISERROR(VLOOKUP('Выбор франшизы'!$D$7,Вспомогательный!$J$16:$L$18,3))=TRUE,0,VLOOKUP('Выбор франшизы'!$D$7,Вспомогательный!$J$16:$L$18,3)),0)</f>
        <v>0</v>
      </c>
      <c r="O51" s="111"/>
      <c r="P51" s="111"/>
      <c r="Q51" s="111"/>
      <c r="R51" s="111"/>
      <c r="S51" s="111">
        <f>IF($E$17+1-COLUMN()+5&lt;=0,IF(ISERROR(VLOOKUP('Выбор франшизы'!$D$7,Вспомогательный!$J$16:$L$18,3))=TRUE,0,VLOOKUP('Выбор франшизы'!$D$7,Вспомогательный!$J$16:$L$18,3)),0)</f>
        <v>0</v>
      </c>
      <c r="T51" s="111">
        <f>IF($E$17+1-COLUMN()+5&lt;=0,IF(ISERROR(VLOOKUP('Выбор франшизы'!$D$7,Вспомогательный!$J$16:$L$18,3))=TRUE,0,VLOOKUP('Выбор франшизы'!$D$7,Вспомогательный!$J$16:$L$18,3)),0)</f>
        <v>0</v>
      </c>
      <c r="U51" s="111">
        <f>IF($E$17+1-COLUMN()+5&lt;=0,IF(ISERROR(VLOOKUP('Выбор франшизы'!$D$7,Вспомогательный!$J$16:$L$18,3))=TRUE,0,VLOOKUP('Выбор франшизы'!$D$7,Вспомогательный!$J$16:$L$18,3)),0)</f>
        <v>0</v>
      </c>
      <c r="V51" s="111">
        <f>IF($E$17+1-COLUMN()+5&lt;=0,IF(ISERROR(VLOOKUP('Выбор франшизы'!$D$7,Вспомогательный!$J$16:$L$18,3))=TRUE,0,VLOOKUP('Выбор франшизы'!$D$7,Вспомогательный!$J$16:$L$18,3)),0)</f>
        <v>0</v>
      </c>
      <c r="W51" s="111">
        <f>IF($E$17+1-COLUMN()+5&lt;=0,IF(ISERROR(VLOOKUP('Выбор франшизы'!$D$7,Вспомогательный!$J$16:$L$18,3))=TRUE,0,VLOOKUP('Выбор франшизы'!$D$7,Вспомогательный!$J$16:$L$18,3)),0)</f>
        <v>0</v>
      </c>
      <c r="X51" s="111">
        <f>IF($E$17+1-COLUMN()+5&lt;=0,IF(ISERROR(VLOOKUP('Выбор франшизы'!$D$7,Вспомогательный!$J$16:$L$18,3))=TRUE,0,VLOOKUP('Выбор франшизы'!$D$7,Вспомогательный!$J$16:$L$18,3)),0)</f>
        <v>0</v>
      </c>
      <c r="Y51" s="111">
        <f>IF($E$17+1-COLUMN()+5&lt;=0,IF(ISERROR(VLOOKUP('Выбор франшизы'!$D$7,Вспомогательный!$J$16:$L$18,3))=TRUE,0,VLOOKUP('Выбор франшизы'!$D$7,Вспомогательный!$J$16:$L$18,3)),0)</f>
        <v>0</v>
      </c>
      <c r="Z51" s="111">
        <f>IF($E$17+1-COLUMN()+5&lt;=0,IF(ISERROR(VLOOKUP('Выбор франшизы'!$D$7,Вспомогательный!$J$16:$L$18,3))=TRUE,0,VLOOKUP('Выбор франшизы'!$D$7,Вспомогательный!$J$16:$L$18,3)),0)</f>
        <v>0</v>
      </c>
      <c r="AA51" s="111">
        <f>IF($E$17+1-COLUMN()+5&lt;=0,IF(ISERROR(VLOOKUP('Выбор франшизы'!$D$7,Вспомогательный!$J$16:$L$18,3))=TRUE,0,VLOOKUP('Выбор франшизы'!$D$7,Вспомогательный!$J$16:$L$18,3)),0)</f>
        <v>0</v>
      </c>
      <c r="AB51" s="111"/>
      <c r="AC51" s="111"/>
      <c r="AD51" s="111"/>
      <c r="AE51" s="111"/>
      <c r="AF51" s="111">
        <f>IF($E$17+1-COLUMN()+5&lt;=0,IF(ISERROR(VLOOKUP('Выбор франшизы'!$D$7,Вспомогательный!$J$16:$L$18,3))=TRUE,0,VLOOKUP('Выбор франшизы'!$D$7,Вспомогательный!$J$16:$L$18,3)),0)</f>
        <v>0</v>
      </c>
      <c r="AG51" s="111">
        <f>IF($E$17+1-COLUMN()+5&lt;=0,IF(ISERROR(VLOOKUP('Выбор франшизы'!$D$7,Вспомогательный!$J$16:$L$18,3))=TRUE,0,VLOOKUP('Выбор франшизы'!$D$7,Вспомогательный!$J$16:$L$18,3)),0)</f>
        <v>0</v>
      </c>
      <c r="AH51" s="111">
        <f>IF($E$17+1-COLUMN()+5&lt;=0,IF(ISERROR(VLOOKUP('Выбор франшизы'!$D$7,Вспомогательный!$J$16:$L$18,3))=TRUE,0,VLOOKUP('Выбор франшизы'!$D$7,Вспомогательный!$J$16:$L$18,3)),0)</f>
        <v>0</v>
      </c>
      <c r="AI51" s="111">
        <f>IF($E$17+1-COLUMN()+5&lt;=0,IF(ISERROR(VLOOKUP('Выбор франшизы'!$D$7,Вспомогательный!$J$16:$L$18,3))=TRUE,0,VLOOKUP('Выбор франшизы'!$D$7,Вспомогательный!$J$16:$L$18,3)),0)</f>
        <v>0</v>
      </c>
      <c r="AJ51" s="111">
        <f>IF($E$17+1-COLUMN()+5&lt;=0,IF(ISERROR(VLOOKUP('Выбор франшизы'!$D$7,Вспомогательный!$J$16:$L$18,3))=TRUE,0,VLOOKUP('Выбор франшизы'!$D$7,Вспомогательный!$J$16:$L$18,3)),0)</f>
        <v>0</v>
      </c>
      <c r="AK51" s="111">
        <f>IF($E$17+1-COLUMN()+5&lt;=0,IF(ISERROR(VLOOKUP('Выбор франшизы'!$D$7,Вспомогательный!$J$16:$L$18,3))=TRUE,0,VLOOKUP('Выбор франшизы'!$D$7,Вспомогательный!$J$16:$L$18,3)),0)</f>
        <v>0</v>
      </c>
      <c r="AL51" s="111">
        <f>IF($E$17+1-COLUMN()+5&lt;=0,IF(ISERROR(VLOOKUP('Выбор франшизы'!$D$7,Вспомогательный!$J$16:$L$18,3))=TRUE,0,VLOOKUP('Выбор франшизы'!$D$7,Вспомогательный!$J$16:$L$18,3)),0)</f>
        <v>0</v>
      </c>
      <c r="AM51" s="111">
        <f>IF($E$17+1-COLUMN()+5&lt;=0,IF(ISERROR(VLOOKUP('Выбор франшизы'!$D$7,Вспомогательный!$J$16:$L$18,3))=TRUE,0,VLOOKUP('Выбор франшизы'!$D$7,Вспомогательный!$J$16:$L$18,3)),0)</f>
        <v>0</v>
      </c>
      <c r="AN51" s="111">
        <f>IF($E$17+1-COLUMN()+5&lt;=0,IF(ISERROR(VLOOKUP('Выбор франшизы'!$D$7,Вспомогательный!$J$16:$L$18,3))=TRUE,0,VLOOKUP('Выбор франшизы'!$D$7,Вспомогательный!$J$16:$L$18,3)),0)</f>
        <v>0</v>
      </c>
      <c r="AO51" s="111"/>
      <c r="AP51" s="111"/>
      <c r="AQ51" s="111"/>
    </row>
    <row r="53" spans="1:43" x14ac:dyDescent="0.25">
      <c r="A53" s="82" t="s">
        <v>104</v>
      </c>
      <c r="C53" s="7">
        <f>IF(AND($C$17&gt;4,$C$17&lt;9),8-$C$17,0)</f>
        <v>0</v>
      </c>
      <c r="E53" s="111">
        <f>IF($D$17-COLUMN()+5&lt;=0,Вводные!$BG$25+IF($D$17-COLUMN()+5=0,Вводные!$BG$26),0) + C53*Вводные!$BG$25</f>
        <v>100000</v>
      </c>
      <c r="F53" s="111">
        <f>IF($D$17-COLUMN()+5&lt;=0,Вводные!$BG$25+IF($D$17-COLUMN()+5=0,Вводные!$BG$26),0)</f>
        <v>50000</v>
      </c>
      <c r="G53" s="111">
        <f>IF($D$17-COLUMN()+5&lt;=0,Вводные!$BG$25+IF($D$17-COLUMN()+5=0,Вводные!$BG$26),0)</f>
        <v>50000</v>
      </c>
      <c r="H53" s="111">
        <f>IF($D$17-COLUMN()+5&lt;=0,Вводные!$BG$25+IF($D$17-COLUMN()+5=0,Вводные!$BG$26),0)</f>
        <v>50000</v>
      </c>
      <c r="I53" s="111">
        <f>IF($D$17-COLUMN()+5&lt;=0,Вводные!$BG$25+IF($D$17-COLUMN()+5=0,Вводные!$BG$26),0)</f>
        <v>50000</v>
      </c>
      <c r="J53" s="111">
        <f>IF($D$17-COLUMN()+5&lt;=0,Вводные!$BG$25+IF($D$17-COLUMN()+5=0,Вводные!$BG$26),0)</f>
        <v>50000</v>
      </c>
      <c r="K53" s="111">
        <f>IF($D$17-COLUMN()+5&lt;=0,Вводные!$BG$25+IF($D$17-COLUMN()+5=0,Вводные!$BG$26),0)</f>
        <v>50000</v>
      </c>
      <c r="L53" s="111">
        <f>IF($D$17-COLUMN()+5&lt;=0,Вводные!$BG$25+IF($D$17-COLUMN()+5=0,Вводные!$BG$26),0)</f>
        <v>50000</v>
      </c>
      <c r="M53" s="111">
        <f>IF($D$17-COLUMN()+5&lt;=0,Вводные!$BG$25+IF($D$17-COLUMN()+5=0,Вводные!$BG$26),0)</f>
        <v>50000</v>
      </c>
      <c r="N53" s="111">
        <f>IF($D$17-COLUMN()+5&lt;=0,Вводные!$BG$25+IF($D$17-COLUMN()+5=0,Вводные!$BG$26),0)</f>
        <v>50000</v>
      </c>
      <c r="O53" s="111">
        <f>IF($D$17-COLUMN()+5&lt;=0,Вводные!$BG$25+IF($D$17-COLUMN()+5=0,Вводные!$BG$26),0)</f>
        <v>50000</v>
      </c>
      <c r="P53" s="111">
        <f>IF($D$17-COLUMN()+5&lt;=0,Вводные!$BG$25+IF($D$17-COLUMN()+5=0,Вводные!$BG$26),0)</f>
        <v>50000</v>
      </c>
      <c r="Q53" s="111">
        <f>IF($D$17-COLUMN()+5&lt;=0,Вводные!$BG$25+IF($D$17-COLUMN()+5=0,Вводные!$BG$26),0)</f>
        <v>50000</v>
      </c>
      <c r="R53" s="111"/>
      <c r="S53" s="111">
        <f>IF($D$17-COLUMN()+5&lt;=0,Вводные!$BG$25+IF($D$17-COLUMN()+5=0,Вводные!$BG$26),0)</f>
        <v>50000</v>
      </c>
      <c r="T53" s="111">
        <f>IF($D$17-COLUMN()+5&lt;=0,Вводные!$BG$25+IF($D$17-COLUMN()+5=0,Вводные!$BG$26),0)</f>
        <v>50000</v>
      </c>
      <c r="U53" s="111">
        <f>IF($D$17-COLUMN()+5&lt;=0,Вводные!$BG$25+IF($D$17-COLUMN()+5=0,Вводные!$BG$26),0)</f>
        <v>50000</v>
      </c>
      <c r="V53" s="111">
        <f>IF($D$17-COLUMN()+5&lt;=0,Вводные!$BG$25+IF($D$17-COLUMN()+5=0,Вводные!$BG$26),0)</f>
        <v>50000</v>
      </c>
      <c r="W53" s="111">
        <f>IF($D$17-COLUMN()+5&lt;=0,Вводные!$BG$25+IF($D$17-COLUMN()+5=0,Вводные!$BG$26),0)</f>
        <v>50000</v>
      </c>
      <c r="X53" s="111">
        <f>IF($D$17-COLUMN()+5&lt;=0,Вводные!$BG$25+IF($D$17-COLUMN()+5=0,Вводные!$BG$26),0)</f>
        <v>50000</v>
      </c>
      <c r="Y53" s="111">
        <f>IF($D$17-COLUMN()+5&lt;=0,Вводные!$BG$25+IF($D$17-COLUMN()+5=0,Вводные!$BG$26),0)</f>
        <v>50000</v>
      </c>
      <c r="Z53" s="111">
        <f>IF($D$17-COLUMN()+5&lt;=0,Вводные!$BG$25+IF($D$17-COLUMN()+5=0,Вводные!$BG$26),0)</f>
        <v>50000</v>
      </c>
      <c r="AA53" s="111">
        <f>IF($D$17-COLUMN()+5&lt;=0,Вводные!$BG$25+IF($D$17-COLUMN()+5=0,Вводные!$BG$26),0)</f>
        <v>50000</v>
      </c>
      <c r="AB53" s="111">
        <f>IF($D$17-COLUMN()+5&lt;=0,Вводные!$BG$25+IF($D$17-COLUMN()+5=0,Вводные!$BG$26),0)</f>
        <v>50000</v>
      </c>
      <c r="AC53" s="111">
        <f>IF($D$17-COLUMN()+5&lt;=0,Вводные!$BG$25+IF($D$17-COLUMN()+5=0,Вводные!$BG$26),0)</f>
        <v>50000</v>
      </c>
      <c r="AD53" s="111">
        <f>IF($D$17-COLUMN()+5&lt;=0,Вводные!$BG$25+IF($D$17-COLUMN()+5=0,Вводные!$BG$26),0)</f>
        <v>50000</v>
      </c>
      <c r="AE53" s="111">
        <f>IF($D$17-COLUMN()+5&lt;=0,Вводные!$BG$25+IF($D$17-COLUMN()+5=0,Вводные!$BG$26),0)</f>
        <v>50000</v>
      </c>
      <c r="AF53" s="111">
        <f>IF($D$17-COLUMN()+5&lt;=0,Вводные!$BG$25+IF($D$17-COLUMN()+5=0,Вводные!$BG$26),0)</f>
        <v>50000</v>
      </c>
      <c r="AG53" s="111">
        <f>IF($D$17-COLUMN()+5&lt;=0,Вводные!$BG$25+IF($D$17-COLUMN()+5=0,Вводные!$BG$26),0)</f>
        <v>50000</v>
      </c>
      <c r="AH53" s="111">
        <f>IF($D$17-COLUMN()+5&lt;=0,Вводные!$BG$25+IF($D$17-COLUMN()+5=0,Вводные!$BG$26),0)</f>
        <v>50000</v>
      </c>
      <c r="AI53" s="111">
        <f>IF($D$17-COLUMN()+5&lt;=0,Вводные!$BG$25+IF($D$17-COLUMN()+5=0,Вводные!$BG$26),0)</f>
        <v>50000</v>
      </c>
      <c r="AJ53" s="111">
        <f>IF($D$17-COLUMN()+5&lt;=0,Вводные!$BG$25+IF($D$17-COLUMN()+5=0,Вводные!$BG$26),0)</f>
        <v>50000</v>
      </c>
      <c r="AK53" s="111">
        <f>IF($D$17-COLUMN()+5&lt;=0,Вводные!$BG$25+IF($D$17-COLUMN()+5=0,Вводные!$BG$26),0)</f>
        <v>50000</v>
      </c>
      <c r="AL53" s="111">
        <f>IF($D$17-COLUMN()+5&lt;=0,Вводные!$BG$25+IF($D$17-COLUMN()+5=0,Вводные!$BG$26),0)</f>
        <v>50000</v>
      </c>
      <c r="AM53" s="111">
        <f>IF($D$17-COLUMN()+5&lt;=0,Вводные!$BG$25+IF($D$17-COLUMN()+5=0,Вводные!$BG$26),0)</f>
        <v>50000</v>
      </c>
      <c r="AN53" s="111">
        <f>IF($D$17-COLUMN()+5&lt;=0,Вводные!$BG$25+IF($D$17-COLUMN()+5=0,Вводные!$BG$26),0)</f>
        <v>50000</v>
      </c>
      <c r="AO53" s="111">
        <f>IF($D$17-COLUMN()+5&lt;=0,Вводные!$BG$25+IF($D$17-COLUMN()+5=0,Вводные!$BG$26),0)</f>
        <v>50000</v>
      </c>
      <c r="AP53" s="111">
        <f>IF($D$17-COLUMN()+5&lt;=0,Вводные!$BG$25+IF($D$17-COLUMN()+5=0,Вводные!$BG$26),0)</f>
        <v>50000</v>
      </c>
      <c r="AQ53" s="111">
        <f>IF($D$17-COLUMN()+5&lt;=0,Вводные!$BG$25+IF($D$17-COLUMN()+5=0,Вводные!$BG$26),0)</f>
        <v>50000</v>
      </c>
    </row>
    <row r="55" spans="1:43" x14ac:dyDescent="0.25">
      <c r="A55" s="110" t="s">
        <v>107</v>
      </c>
    </row>
    <row r="56" spans="1:43" x14ac:dyDescent="0.25">
      <c r="A56" s="7" t="s">
        <v>105</v>
      </c>
      <c r="B56" s="7">
        <f>IF(Вводные!$BF$41&lt;&gt;"",1,IF(Вводные!$BG$41&lt;&gt;"",2,0))</f>
        <v>2</v>
      </c>
      <c r="C56" s="7">
        <f>IF($B$56=1,VLOOKUP(Вводные!$BF$41,Вспомогательный!$G$16:$H$18,2,0),IF($B$56=2,Вводные!$BG$41,0))</f>
        <v>30000</v>
      </c>
      <c r="E56" s="7">
        <f>IF($B$56=1,IF($D$17-COLUMN()+5&lt;=0,$C$56,0),IF($B$56=2,IF(AND($D$17-COLUMN()+5=0,$C$17&lt;13),Вводные!$BG$41,IF(AND(E21="Январь",OR(AND($C$17&gt;4,COLUMN()&lt;18),COLUMN()&gt;18)),$C$56,0))))</f>
        <v>30000</v>
      </c>
      <c r="F56" s="7">
        <f>IF($B$56=1,IF($D$17-COLUMN()+5&lt;=0,$C$56,0),IF($B$56=2,IF(AND($D$17-COLUMN()+5=0,$C$17&lt;13),Вводные!$BG$41,IF(AND(F21="Январь",OR(AND($C$17&gt;4,COLUMN()&lt;18),COLUMN()&gt;18)),$C$56,0))))</f>
        <v>0</v>
      </c>
      <c r="G56" s="7">
        <f>IF($B$56=1,IF($D$17-COLUMN()+5&lt;=0,$C$56,0),IF($B$56=2,IF(AND($D$17-COLUMN()+5=0,$C$17&lt;13),Вводные!$BG$41,IF(AND(G21="Январь",OR(AND($C$17&gt;4,COLUMN()&lt;18),COLUMN()&gt;18)),$C$56,0))))</f>
        <v>0</v>
      </c>
      <c r="H56" s="7">
        <f>IF($B$56=1,IF($D$17-COLUMN()+5&lt;=0,$C$56,0),IF($B$56=2,IF(AND($D$17-COLUMN()+5=0,$C$17&lt;13),Вводные!$BG$41,IF(AND(H21="Январь",OR(AND($C$17&gt;4,COLUMN()&lt;18),COLUMN()&gt;18)),$C$56,0))))</f>
        <v>0</v>
      </c>
      <c r="I56" s="7">
        <f>IF($B$56=1,IF($D$17-COLUMN()+5&lt;=0,$C$56,0),IF($B$56=2,IF(AND($D$17-COLUMN()+5=0,$C$17&lt;13),Вводные!$BG$41,IF(AND(I21="Январь",OR(AND($C$17&gt;4,COLUMN()&lt;18),COLUMN()&gt;18)),$C$56,0))))</f>
        <v>0</v>
      </c>
      <c r="J56" s="7">
        <f>IF($B$56=1,IF($D$17-COLUMN()+5&lt;=0,$C$56,0),IF($B$56=2,IF(AND($D$17-COLUMN()+5=0,$C$17&lt;13),Вводные!$BG$41,IF(AND(J21="Январь",OR(AND($C$17&gt;4,COLUMN()&lt;18),COLUMN()&gt;18)),$C$56,0))))</f>
        <v>30000</v>
      </c>
      <c r="K56" s="7">
        <f>IF($B$56=1,IF($D$17-COLUMN()+5&lt;=0,$C$56,0),IF($B$56=2,IF(AND($D$17-COLUMN()+5=0,$C$17&lt;13),Вводные!$BG$41,IF(AND(K21="Январь",OR(AND($C$17&gt;4,COLUMN()&lt;18),COLUMN()&gt;18)),$C$56,0))))</f>
        <v>0</v>
      </c>
      <c r="L56" s="7">
        <f>IF($B$56=1,IF($D$17-COLUMN()+5&lt;=0,$C$56,0),IF($B$56=2,IF(AND($D$17-COLUMN()+5=0,$C$17&lt;13),Вводные!$BG$41,IF(AND(L21="Январь",OR(AND($C$17&gt;4,COLUMN()&lt;18),COLUMN()&gt;18)),$C$56,0))))</f>
        <v>0</v>
      </c>
      <c r="M56" s="7">
        <f>IF($B$56=1,IF($D$17-COLUMN()+5&lt;=0,$C$56,0),IF($B$56=2,IF(AND($D$17-COLUMN()+5=0,$C$17&lt;13),Вводные!$BG$41,IF(AND(M21="Январь",OR(AND($C$17&gt;4,COLUMN()&lt;18),COLUMN()&gt;18)),$C$56,0))))</f>
        <v>0</v>
      </c>
      <c r="N56" s="7">
        <f>IF($B$56=1,IF($D$17-COLUMN()+5&lt;=0,$C$56,0),IF($B$56=2,IF(AND($D$17-COLUMN()+5=0,$C$17&lt;13),Вводные!$BG$41,IF(AND(N21="Январь",OR(AND($C$17&gt;4,COLUMN()&lt;18),COLUMN()&gt;18)),$C$56,0))))</f>
        <v>0</v>
      </c>
      <c r="O56" s="7">
        <f>IF($B$56=1,IF($D$17-COLUMN()+5&lt;=0,$C$56,0),IF($B$56=2,IF(AND($D$17-COLUMN()+5=0,$C$17&lt;13),Вводные!$BG$41,IF(AND(O21="Январь",OR(AND($C$17&gt;4,COLUMN()&lt;18),COLUMN()&gt;18)),$C$56,0))))</f>
        <v>0</v>
      </c>
      <c r="P56" s="7">
        <f>IF($B$56=1,IF($D$17-COLUMN()+5&lt;=0,$C$56,0),IF($B$56=2,IF(AND($D$17-COLUMN()+5=0,$C$17&lt;13),Вводные!$BG$41,IF(AND(P21="Январь",OR(AND($C$17&gt;4,COLUMN()&lt;18),COLUMN()&gt;18)),$C$56,0))))</f>
        <v>0</v>
      </c>
      <c r="Q56" s="7">
        <f>IF($B$56=1,IF($D$17-COLUMN()+5&lt;=0,$C$56,0),IF($B$56=2,IF(AND($D$17-COLUMN()+5=0,$C$17&lt;13),Вводные!$BG$41,IF(AND(Q21="Январь",OR(AND($C$17&gt;4,COLUMN()&lt;18),COLUMN()&gt;18)),$C$56,0))))</f>
        <v>0</v>
      </c>
      <c r="R56" s="7">
        <f>IF($B$56=1,IF($D$17-COLUMN()+5&lt;=0,$C$56,0),IF($B$56=2,IF(AND($D$17-COLUMN()+5=0,$C$17&lt;13),Вводные!$BG$41,IF(AND(R21="Январь",OR(AND($C$17&gt;4,COLUMN()&lt;18),COLUMN()&gt;18)),$C$56,0))))</f>
        <v>0</v>
      </c>
      <c r="S56" s="7">
        <f>IF($B$56=1,IF($D$17-COLUMN()+5&lt;=0,$C$56,0),IF($B$56=2,IF(AND($D$17-COLUMN()+5=0,$C$17&lt;13),Вводные!$BG$41,IF(AND(S21="Январь",OR(AND($C$17&gt;4,COLUMN()&lt;18),COLUMN()&gt;18)),$C$56,0))))</f>
        <v>0</v>
      </c>
      <c r="T56" s="7">
        <f>IF($B$56=1,IF($D$17-COLUMN()+5&lt;=0,$C$56,0),IF($B$56=2,IF(AND($D$17-COLUMN()+5=0,$C$17&lt;13),Вводные!$BG$41,IF(AND(T21="Январь",OR(AND($C$17&gt;4,COLUMN()&lt;18),COLUMN()&gt;18)),$C$56,0))))</f>
        <v>0</v>
      </c>
      <c r="U56" s="7">
        <f>IF($B$56=1,IF($D$17-COLUMN()+5&lt;=0,$C$56,0),IF($B$56=2,IF(AND($D$17-COLUMN()+5=0,$C$17&lt;13),Вводные!$BG$41,IF(AND(U21="Январь",OR(AND($C$17&gt;4,COLUMN()&lt;18),COLUMN()&gt;18)),$C$56,0))))</f>
        <v>0</v>
      </c>
      <c r="V56" s="7">
        <f>IF($B$56=1,IF($D$17-COLUMN()+5&lt;=0,$C$56,0),IF($B$56=2,IF(AND($D$17-COLUMN()+5=0,$C$17&lt;13),Вводные!$BG$41,IF(AND(V21="Январь",OR(AND($C$17&gt;4,COLUMN()&lt;18),COLUMN()&gt;18)),$C$56,0))))</f>
        <v>0</v>
      </c>
      <c r="W56" s="7">
        <f>IF($B$56=1,IF($D$17-COLUMN()+5&lt;=0,$C$56,0),IF($B$56=2,IF(AND($D$17-COLUMN()+5=0,$C$17&lt;13),Вводные!$BG$41,IF(AND(W21="Январь",OR(AND($C$17&gt;4,COLUMN()&lt;18),COLUMN()&gt;18)),$C$56,0))))</f>
        <v>30000</v>
      </c>
      <c r="X56" s="7">
        <f>IF($B$56=1,IF($D$17-COLUMN()+5&lt;=0,$C$56,0),IF($B$56=2,IF(AND($D$17-COLUMN()+5=0,$C$17&lt;13),Вводные!$BG$41,IF(AND(X21="Январь",OR(AND($C$17&gt;4,COLUMN()&lt;18),COLUMN()&gt;18)),$C$56,0))))</f>
        <v>0</v>
      </c>
      <c r="Y56" s="7">
        <f>IF($B$56=1,IF($D$17-COLUMN()+5&lt;=0,$C$56,0),IF($B$56=2,IF(AND($D$17-COLUMN()+5=0,$C$17&lt;13),Вводные!$BG$41,IF(AND(Y21="Январь",OR(AND($C$17&gt;4,COLUMN()&lt;18),COLUMN()&gt;18)),$C$56,0))))</f>
        <v>0</v>
      </c>
      <c r="Z56" s="7">
        <f>IF($B$56=1,IF($D$17-COLUMN()+5&lt;=0,$C$56,0),IF($B$56=2,IF(AND($D$17-COLUMN()+5=0,$C$17&lt;13),Вводные!$BG$41,IF(AND(Z21="Январь",OR(AND($C$17&gt;4,COLUMN()&lt;18),COLUMN()&gt;18)),$C$56,0))))</f>
        <v>0</v>
      </c>
      <c r="AA56" s="7">
        <f>IF($B$56=1,IF($D$17-COLUMN()+5&lt;=0,$C$56,0),IF($B$56=2,IF(AND($D$17-COLUMN()+5=0,$C$17&lt;13),Вводные!$BG$41,IF(AND(AA21="Январь",OR(AND($C$17&gt;4,COLUMN()&lt;18),COLUMN()&gt;18)),$C$56,0))))</f>
        <v>0</v>
      </c>
      <c r="AB56" s="7">
        <f>IF($B$56=1,IF($D$17-COLUMN()+5&lt;=0,$C$56,0),IF($B$56=2,IF(AND($D$17-COLUMN()+5=0,$C$17&lt;13),Вводные!$BG$41,IF(AND(AB21="Январь",OR(AND($C$17&gt;4,COLUMN()&lt;18),COLUMN()&gt;18)),$C$56,0))))</f>
        <v>0</v>
      </c>
      <c r="AC56" s="7">
        <f>IF($B$56=1,IF($D$17-COLUMN()+5&lt;=0,$C$56,0),IF($B$56=2,IF(AND($D$17-COLUMN()+5=0,$C$17&lt;13),Вводные!$BG$41,IF(AND(AC21="Январь",OR(AND($C$17&gt;4,COLUMN()&lt;18),COLUMN()&gt;18)),$C$56,0))))</f>
        <v>0</v>
      </c>
      <c r="AD56" s="7">
        <f>IF($B$56=1,IF($D$17-COLUMN()+5&lt;=0,$C$56,0),IF($B$56=2,IF(AND($D$17-COLUMN()+5=0,$C$17&lt;13),Вводные!$BG$41,IF(AND(AD21="Январь",OR(AND($C$17&gt;4,COLUMN()&lt;18),COLUMN()&gt;18)),$C$56,0))))</f>
        <v>0</v>
      </c>
      <c r="AE56" s="7">
        <f>IF($B$56=1,IF($D$17-COLUMN()+5&lt;=0,$C$56,0),IF($B$56=2,IF(AND($D$17-COLUMN()+5=0,$C$17&lt;13),Вводные!$BG$41,IF(AND(AE21="Январь",OR(AND($C$17&gt;4,COLUMN()&lt;18),COLUMN()&gt;18)),$C$56,0))))</f>
        <v>0</v>
      </c>
      <c r="AF56" s="7">
        <f>IF($B$56=1,IF($D$17-COLUMN()+5&lt;=0,$C$56,0),IF($B$56=2,IF(AND($D$17-COLUMN()+5=0,$C$17&lt;13),Вводные!$BG$41,IF(AND(AF21="Январь",OR(AND($C$17&gt;4,COLUMN()&lt;18),COLUMN()&gt;18)),$C$56,0))))</f>
        <v>0</v>
      </c>
      <c r="AG56" s="7">
        <f>IF($B$56=1,IF($D$17-COLUMN()+5&lt;=0,$C$56,0),IF($B$56=2,IF(AND($D$17-COLUMN()+5=0,$C$17&lt;13),Вводные!$BG$41,IF(AND(AG21="Январь",OR(AND($C$17&gt;4,COLUMN()&lt;18),COLUMN()&gt;18)),$C$56,0))))</f>
        <v>0</v>
      </c>
      <c r="AH56" s="7">
        <f>IF($B$56=1,IF($D$17-COLUMN()+5&lt;=0,$C$56,0),IF($B$56=2,IF(AND($D$17-COLUMN()+5=0,$C$17&lt;13),Вводные!$BG$41,IF(AND(AH21="Январь",OR(AND($C$17&gt;4,COLUMN()&lt;18),COLUMN()&gt;18)),$C$56,0))))</f>
        <v>0</v>
      </c>
      <c r="AI56" s="7">
        <f>IF($B$56=1,IF($D$17-COLUMN()+5&lt;=0,$C$56,0),IF($B$56=2,IF(AND($D$17-COLUMN()+5=0,$C$17&lt;13),Вводные!$BG$41,IF(AND(AI21="Январь",OR(AND($C$17&gt;4,COLUMN()&lt;18),COLUMN()&gt;18)),$C$56,0))))</f>
        <v>0</v>
      </c>
      <c r="AJ56" s="7">
        <f>IF($B$56=1,IF($D$17-COLUMN()+5&lt;=0,$C$56,0),IF($B$56=2,IF(AND($D$17-COLUMN()+5=0,$C$17&lt;13),Вводные!$BG$41,IF(AND(AJ21="Январь",OR(AND($C$17&gt;4,COLUMN()&lt;18),COLUMN()&gt;18)),$C$56,0))))</f>
        <v>30000</v>
      </c>
      <c r="AK56" s="7">
        <f>IF($B$56=1,IF($D$17-COLUMN()+5&lt;=0,$C$56,0),IF($B$56=2,IF(AND($D$17-COLUMN()+5=0,$C$17&lt;13),Вводные!$BG$41,IF(AND(AK21="Январь",OR(AND($C$17&gt;4,COLUMN()&lt;18),COLUMN()&gt;18)),$C$56,0))))</f>
        <v>0</v>
      </c>
      <c r="AL56" s="7">
        <f>IF($B$56=1,IF($D$17-COLUMN()+5&lt;=0,$C$56,0),IF($B$56=2,IF(AND($D$17-COLUMN()+5=0,$C$17&lt;13),Вводные!$BG$41,IF(AND(AL21="Январь",OR(AND($C$17&gt;4,COLUMN()&lt;18),COLUMN()&gt;18)),$C$56,0))))</f>
        <v>0</v>
      </c>
      <c r="AM56" s="7">
        <f>IF($B$56=1,IF($D$17-COLUMN()+5&lt;=0,$C$56,0),IF($B$56=2,IF(AND($D$17-COLUMN()+5=0,$C$17&lt;13),Вводные!$BG$41,IF(AND(AM21="Январь",OR(AND($C$17&gt;4,COLUMN()&lt;18),COLUMN()&gt;18)),$C$56,0))))</f>
        <v>0</v>
      </c>
      <c r="AN56" s="7">
        <f>IF($B$56=1,IF($D$17-COLUMN()+5&lt;=0,$C$56,0),IF($B$56=2,IF(AND($D$17-COLUMN()+5=0,$C$17&lt;13),Вводные!$BG$41,IF(AND(AN21="Январь",OR(AND($C$17&gt;4,COLUMN()&lt;18),COLUMN()&gt;18)),$C$56,0))))</f>
        <v>0</v>
      </c>
      <c r="AO56" s="7">
        <f>IF($B$56=1,IF($D$17-COLUMN()+5&lt;=0,$C$56,0),IF($B$56=2,IF(AND($D$17-COLUMN()+5=0,$C$17&lt;13),Вводные!$BG$41,IF(AND(AO21="Январь",OR(AND($C$17&gt;4,COLUMN()&lt;18),COLUMN()&gt;18)),$C$56,0))))</f>
        <v>0</v>
      </c>
      <c r="AP56" s="7">
        <f>IF($B$56=1,IF($D$17-COLUMN()+5&lt;=0,$C$56,0),IF($B$56=2,IF(AND($D$17-COLUMN()+5=0,$C$17&lt;13),Вводные!$BG$41,IF(AND(AP21="Январь",OR(AND($C$17&gt;4,COLUMN()&lt;18),COLUMN()&gt;18)),$C$56,0))))</f>
        <v>0</v>
      </c>
      <c r="AQ56" s="7">
        <f>IF($B$56=1,IF($D$17-COLUMN()+5&lt;=0,$C$56,0),IF($B$56=2,IF(AND($D$17-COLUMN()+5=0,$C$17&lt;13),Вводные!$BG$41,IF(AND(AQ21="Январь",OR(AND($C$17&gt;4,COLUMN()&lt;18),COLUMN()&gt;18)),$C$56,0))))</f>
        <v>0</v>
      </c>
    </row>
    <row r="57" spans="1:43" s="111" customFormat="1" x14ac:dyDescent="0.25">
      <c r="A57" s="132" t="s">
        <v>106</v>
      </c>
      <c r="E57" s="111">
        <f>IF($B$56=1,E56*0/100,0)+IF($B$56=2,IF(COLUMN()&lt;18,E56/12*(12-$B$17),E56))</f>
        <v>30000</v>
      </c>
      <c r="F57" s="111">
        <f>IF($B$56=1,F56*Результат!Q8/100,0)+IF($B$56=2,IF(COLUMN()&lt;18,F56/12*(12-$B$17),F56))</f>
        <v>0</v>
      </c>
      <c r="G57" s="111">
        <f>IF($B$56=1,G56*Результат!R8/100,0)+IF($B$56=2,IF(COLUMN()&lt;18,G56/12*(12-$B$17),G56))</f>
        <v>0</v>
      </c>
      <c r="H57" s="111">
        <f>IF($B$56=1,H56*Результат!S8/100,0)+IF($B$56=2,IF(COLUMN()&lt;18,H56/12*(12-$B$17),H56))</f>
        <v>0</v>
      </c>
      <c r="I57" s="111">
        <f>IF($B$56=1,I56*Результат!T8/100,0)+IF($B$56=2,IF(COLUMN()&lt;18,I56/12*(12-$B$17),I56))</f>
        <v>0</v>
      </c>
      <c r="J57" s="111">
        <f>IF($B$56=1,J56*Результат!U8/100,0)+IF($B$56=2,IF(COLUMN()&lt;18,J56/12*(12-$B$17),J56))</f>
        <v>30000</v>
      </c>
      <c r="K57" s="111">
        <f>IF($B$56=1,K56*Результат!V8/100,0)+IF($B$56=2,IF(COLUMN()&lt;18,K56/12*(12-$B$17),K56))</f>
        <v>0</v>
      </c>
      <c r="L57" s="111">
        <f>IF($B$56=1,L56*Результат!W8/100,0)+IF($B$56=2,IF(COLUMN()&lt;18,L56/12*(12-$B$17),L56))</f>
        <v>0</v>
      </c>
      <c r="M57" s="111">
        <f>IF($B$56=1,M56*Результат!X8/100,0)+IF($B$56=2,IF(COLUMN()&lt;18,M56/12*(12-$B$17),M56))</f>
        <v>0</v>
      </c>
      <c r="N57" s="111">
        <f>IF($B$56=1,N56*Результат!Y8/100,0)+IF($B$56=2,IF(COLUMN()&lt;18,N56/12*(12-$B$17),N56))</f>
        <v>0</v>
      </c>
      <c r="O57" s="111">
        <f>IF($B$56=1,O56*Результат!Z8/100,0)+IF($B$56=2,IF(COLUMN()&lt;18,O56/12*(12-$B$17),O56))</f>
        <v>0</v>
      </c>
      <c r="P57" s="111">
        <f>IF($B$56=1,P56*Результат!AA8/100,0)+IF($B$56=2,IF(COLUMN()&lt;18,P56/12*(12-$B$17),P56))</f>
        <v>0</v>
      </c>
      <c r="Q57" s="111">
        <f>IF($B$56=1,Q56*Результат!AB8/100,0)+IF($B$56=2,IF(COLUMN()&lt;18,Q56/12*(12-$B$17),Q56))</f>
        <v>0</v>
      </c>
      <c r="R57" s="111">
        <f>IF($B$56=1,R56*Результат!E8/100,0)+IF($B$56=2,IF(COLUMN()&lt;18,R56/12*(12-$B$17),R56))</f>
        <v>0</v>
      </c>
      <c r="S57" s="111">
        <f>IF($B$56=1,S56*Результат!AD8/100,0)+IF($B$56=2,IF(COLUMN()&lt;18,S56/12*(12-$B$17),S56))</f>
        <v>0</v>
      </c>
      <c r="T57" s="111">
        <f>IF($B$56=1,T56*Результат!AE8/100,0)+IF($B$56=2,IF(COLUMN()&lt;18,T56/12*(12-$B$17),T56))</f>
        <v>0</v>
      </c>
      <c r="U57" s="111">
        <f>IF($B$56=1,U56*Результат!AF8/100,0)+IF($B$56=2,IF(COLUMN()&lt;18,U56/12*(12-$B$17),U56))</f>
        <v>0</v>
      </c>
      <c r="V57" s="111">
        <f>IF($B$56=1,V56*Результат!AG8/100,0)+IF($B$56=2,IF(COLUMN()&lt;18,V56/12*(12-$B$17),V56))</f>
        <v>0</v>
      </c>
      <c r="W57" s="111">
        <f>IF($B$56=1,W56*Результат!AH8/100,0)+IF($B$56=2,IF(COLUMN()&lt;18,W56/12*(12-$B$17),W56))</f>
        <v>30000</v>
      </c>
      <c r="X57" s="111">
        <f>IF($B$56=1,X56*Результат!AI8/100,0)+IF($B$56=2,IF(COLUMN()&lt;18,X56/12*(12-$B$17),X56))</f>
        <v>0</v>
      </c>
      <c r="Y57" s="111">
        <f>IF($B$56=1,Y56*Результат!AJ8/100,0)+IF($B$56=2,IF(COLUMN()&lt;18,Y56/12*(12-$B$17),Y56))</f>
        <v>0</v>
      </c>
      <c r="Z57" s="111">
        <f>IF($B$56=1,Z56*Результат!AK8/100,0)+IF($B$56=2,IF(COLUMN()&lt;18,Z56/12*(12-$B$17),Z56))</f>
        <v>0</v>
      </c>
      <c r="AA57" s="111">
        <f>IF($B$56=1,AA56*Результат!AL8/100,0)+IF($B$56=2,IF(COLUMN()&lt;18,AA56/12*(12-$B$17),AA56))</f>
        <v>0</v>
      </c>
      <c r="AB57" s="111">
        <f>IF($B$56=1,AB56*Результат!AM8/100,0)+IF($B$56=2,IF(COLUMN()&lt;18,AB56/12*(12-$B$17),AB56))</f>
        <v>0</v>
      </c>
      <c r="AC57" s="111">
        <f>IF($B$56=1,AC56*Результат!AN8/100,0)+IF($B$56=2,IF(COLUMN()&lt;18,AC56/12*(12-$B$17),AC56))</f>
        <v>0</v>
      </c>
      <c r="AD57" s="111">
        <f>IF($B$56=1,AD56*Результат!AO8/100,0)+IF($B$56=2,IF(COLUMN()&lt;18,AD56/12*(12-$B$17),AD56))</f>
        <v>0</v>
      </c>
      <c r="AE57" s="111">
        <f>IF($B$56=1,AE56*Результат!F8/100,0)+IF($B$56=2,IF(COLUMN()&lt;18,AE56/12*(12-$B$17),AE56))</f>
        <v>0</v>
      </c>
      <c r="AF57" s="111">
        <f>IF($B$56=1,AF56*Результат!AQ8/100,0)+IF($B$56=2,IF(COLUMN()&lt;18,AF56/12*(12-$B$17),AF56))</f>
        <v>0</v>
      </c>
      <c r="AG57" s="111">
        <f>IF($B$56=1,AG56*Результат!AR8/100,0)+IF($B$56=2,IF(COLUMN()&lt;18,AG56/12*(12-$B$17),AG56))</f>
        <v>0</v>
      </c>
      <c r="AH57" s="111">
        <f>IF($B$56=1,AH56*Результат!AS8/100,0)+IF($B$56=2,IF(COLUMN()&lt;18,AH56/12*(12-$B$17),AH56))</f>
        <v>0</v>
      </c>
      <c r="AI57" s="111">
        <f>IF($B$56=1,AI56*Результат!AT8/100,0)+IF($B$56=2,IF(COLUMN()&lt;18,AI56/12*(12-$B$17),AI56))</f>
        <v>0</v>
      </c>
      <c r="AJ57" s="111">
        <f>IF($B$56=1,AJ56*Результат!AU8/100,0)+IF($B$56=2,IF(COLUMN()&lt;18,AJ56/12*(12-$B$17),AJ56))</f>
        <v>30000</v>
      </c>
      <c r="AK57" s="111">
        <f>IF($B$56=1,AK56*Результат!AV8/100,0)+IF($B$56=2,IF(COLUMN()&lt;18,AK56/12*(12-$B$17),AK56))</f>
        <v>0</v>
      </c>
      <c r="AL57" s="111">
        <f>IF($B$56=1,AL56*Результат!AW8/100,0)+IF($B$56=2,IF(COLUMN()&lt;18,AL56/12*(12-$B$17),AL56))</f>
        <v>0</v>
      </c>
      <c r="AM57" s="111">
        <f>IF($B$56=1,AM56*Результат!AX8/100,0)+IF($B$56=2,IF(COLUMN()&lt;18,AM56/12*(12-$B$17),AM56))</f>
        <v>0</v>
      </c>
      <c r="AN57" s="111">
        <f>IF($B$56=1,AN56*Результат!AY8/100,0)+IF($B$56=2,IF(COLUMN()&lt;18,AN56/12*(12-$B$17),AN56))</f>
        <v>0</v>
      </c>
      <c r="AO57" s="111">
        <f>IF($B$56=1,AO56*Результат!AZ8/100,0)+IF($B$56=2,IF(COLUMN()&lt;18,AO56/12*(12-$B$17),AO56))</f>
        <v>0</v>
      </c>
      <c r="AP57" s="111">
        <f>IF($B$56=1,AP56*Результат!BA8/100,0)+IF($B$56=2,IF(COLUMN()&lt;18,AP56/12*(12-$B$17),AP56))</f>
        <v>0</v>
      </c>
      <c r="AQ57" s="111">
        <f>IF($B$56=1,AQ56*Результат!BB8/100,0)+IF($B$56=2,IF(COLUMN()&lt;18,AQ56/12*(12-$B$17),AQ56))</f>
        <v>0</v>
      </c>
    </row>
    <row r="59" spans="1:43" x14ac:dyDescent="0.25">
      <c r="A59" s="82" t="s">
        <v>2</v>
      </c>
      <c r="E59" s="7">
        <f>IF($E$17-COLUMN()+5&lt;=0,Вводные!$BG$32+E60,0)</f>
        <v>0</v>
      </c>
      <c r="F59" s="7">
        <f>IF($E$17-COLUMN()+5&lt;=0,Вводные!$BG$32+F60,0)</f>
        <v>14600</v>
      </c>
      <c r="G59" s="7">
        <f>IF($E$17-COLUMN()+5&lt;=0,Вводные!$BG$32+G60,0)</f>
        <v>5600</v>
      </c>
      <c r="H59" s="7">
        <f>IF($E$17-COLUMN()+5&lt;=0,Вводные!$BG$32+H60,0)</f>
        <v>5600</v>
      </c>
      <c r="I59" s="7">
        <f>IF($E$17-COLUMN()+5&lt;=0,Вводные!$BG$32+I60,0)</f>
        <v>5600</v>
      </c>
      <c r="J59" s="7">
        <f>IF($E$17-COLUMN()+5&lt;=0,Вводные!$BG$32+J60,0)</f>
        <v>5600</v>
      </c>
      <c r="K59" s="7">
        <f>IF($E$17-COLUMN()+5&lt;=0,Вводные!$BG$32+K60,0)</f>
        <v>5600</v>
      </c>
      <c r="L59" s="7">
        <f>IF($E$17-COLUMN()+5&lt;=0,Вводные!$BG$32+L60,0)</f>
        <v>5600</v>
      </c>
      <c r="M59" s="7">
        <f>IF($E$17-COLUMN()+5&lt;=0,Вводные!$BG$32+M60,0)</f>
        <v>5600</v>
      </c>
      <c r="N59" s="7">
        <f>IF($E$17-COLUMN()+5&lt;=0,Вводные!$BG$32+N60,0)</f>
        <v>5600</v>
      </c>
      <c r="O59" s="7">
        <f>IF($E$17-COLUMN()+5&lt;=0,Вводные!$BG$32+O60,0)</f>
        <v>5600</v>
      </c>
      <c r="P59" s="7">
        <f>IF($E$17-COLUMN()+5&lt;=0,Вводные!$BG$32+P60,0)</f>
        <v>5600</v>
      </c>
      <c r="Q59" s="7">
        <f>IF($E$17-COLUMN()+5&lt;=0,Вводные!$BG$32+Q60,0)</f>
        <v>5600</v>
      </c>
      <c r="R59" s="7">
        <f>IF($E$17-COLUMN()+5&lt;=0,Вводные!$BG$32+R60,0)</f>
        <v>5600</v>
      </c>
      <c r="S59" s="7">
        <f>IF($E$17-COLUMN()+5&lt;=0,Вводные!$BG$32+S60,0)</f>
        <v>14600</v>
      </c>
      <c r="T59" s="7">
        <f>IF($E$17-COLUMN()+5&lt;=0,Вводные!$BG$32+T60,0)</f>
        <v>5600</v>
      </c>
      <c r="U59" s="7">
        <f>IF($E$17-COLUMN()+5&lt;=0,Вводные!$BG$32+U60,0)</f>
        <v>5600</v>
      </c>
      <c r="V59" s="7">
        <f>IF($E$17-COLUMN()+5&lt;=0,Вводные!$BG$32+V60,0)</f>
        <v>5600</v>
      </c>
      <c r="W59" s="7">
        <f>IF($E$17-COLUMN()+5&lt;=0,Вводные!$BG$32+W60,0)</f>
        <v>5600</v>
      </c>
      <c r="X59" s="7">
        <f>IF($E$17-COLUMN()+5&lt;=0,Вводные!$BG$32+X60,0)</f>
        <v>5600</v>
      </c>
      <c r="Y59" s="7">
        <f>IF($E$17-COLUMN()+5&lt;=0,Вводные!$BG$32+Y60,0)</f>
        <v>5600</v>
      </c>
      <c r="Z59" s="7">
        <f>IF($E$17-COLUMN()+5&lt;=0,Вводные!$BG$32+Z60,0)</f>
        <v>5600</v>
      </c>
      <c r="AA59" s="7">
        <f>IF($E$17-COLUMN()+5&lt;=0,Вводные!$BG$32+AA60,0)</f>
        <v>5600</v>
      </c>
      <c r="AB59" s="7">
        <f>IF($E$17-COLUMN()+5&lt;=0,Вводные!$BG$32+AB60,0)</f>
        <v>5600</v>
      </c>
      <c r="AC59" s="7">
        <f>IF($E$17-COLUMN()+5&lt;=0,Вводные!$BG$32+AC60,0)</f>
        <v>5600</v>
      </c>
      <c r="AD59" s="7">
        <f>IF($E$17-COLUMN()+5&lt;=0,Вводные!$BG$32+AD60,0)</f>
        <v>5600</v>
      </c>
      <c r="AE59" s="7">
        <f>IF($E$17-COLUMN()+5&lt;=0,Вводные!$BG$32+AE60,0)</f>
        <v>5600</v>
      </c>
      <c r="AF59" s="7">
        <f>IF($E$17-COLUMN()+5&lt;=0,Вводные!$BG$32+AF60,0)</f>
        <v>14600</v>
      </c>
      <c r="AG59" s="7">
        <f>IF($E$17-COLUMN()+5&lt;=0,Вводные!$BG$32+AG60,0)</f>
        <v>5600</v>
      </c>
      <c r="AH59" s="7">
        <f>IF($E$17-COLUMN()+5&lt;=0,Вводные!$BG$32+AH60,0)</f>
        <v>5600</v>
      </c>
      <c r="AI59" s="7">
        <f>IF($E$17-COLUMN()+5&lt;=0,Вводные!$BG$32+AI60,0)</f>
        <v>5600</v>
      </c>
      <c r="AJ59" s="7">
        <f>IF($E$17-COLUMN()+5&lt;=0,Вводные!$BG$32+AJ60,0)</f>
        <v>5600</v>
      </c>
      <c r="AK59" s="7">
        <f>IF($E$17-COLUMN()+5&lt;=0,Вводные!$BG$32+AK60,0)</f>
        <v>5600</v>
      </c>
      <c r="AL59" s="7">
        <f>IF($E$17-COLUMN()+5&lt;=0,Вводные!$BG$32+AL60,0)</f>
        <v>5600</v>
      </c>
      <c r="AM59" s="7">
        <f>IF($E$17-COLUMN()+5&lt;=0,Вводные!$BG$32+AM60,0)</f>
        <v>5600</v>
      </c>
      <c r="AN59" s="7">
        <f>IF($E$17-COLUMN()+5&lt;=0,Вводные!$BG$32+AN60,0)</f>
        <v>5600</v>
      </c>
      <c r="AO59" s="7">
        <f>IF($E$17-COLUMN()+5&lt;=0,Вводные!$BG$32+AO60,0)</f>
        <v>5600</v>
      </c>
      <c r="AP59" s="7">
        <f>IF($E$17-COLUMN()+5&lt;=0,Вводные!$BG$32+AP60,0)</f>
        <v>5600</v>
      </c>
      <c r="AQ59" s="7">
        <f>IF($E$17-COLUMN()+5&lt;=0,Вводные!$BG$32+AQ60,0)</f>
        <v>5600</v>
      </c>
    </row>
    <row r="60" spans="1:43" x14ac:dyDescent="0.25">
      <c r="A60" s="82" t="s">
        <v>259</v>
      </c>
      <c r="E60" s="7">
        <f>IF($E$17-COLUMN()+5=0,Вводные!$BG$33,0)</f>
        <v>0</v>
      </c>
      <c r="F60" s="7">
        <f>IF($E$17-COLUMN()+5=0,Вводные!$BG$33,0)</f>
        <v>9000</v>
      </c>
      <c r="G60" s="7">
        <f>IF($E$17-COLUMN()+5=0,Вводные!$BG$33,0)</f>
        <v>0</v>
      </c>
      <c r="H60" s="7">
        <f>IF($E$17-COLUMN()+5=0,Вводные!$BG$33,0)</f>
        <v>0</v>
      </c>
      <c r="I60" s="7">
        <f>IF($E$17-COLUMN()+5=0,Вводные!$BG$33,0)</f>
        <v>0</v>
      </c>
      <c r="J60" s="7">
        <f>IF($E$17-COLUMN()+5=0,Вводные!$BG$33,0)</f>
        <v>0</v>
      </c>
      <c r="K60" s="7">
        <f>IF($E$17-COLUMN()+5=0,Вводные!$BG$33,0)</f>
        <v>0</v>
      </c>
      <c r="L60" s="7">
        <f>IF($E$17-COLUMN()+5=0,Вводные!$BG$33,0)</f>
        <v>0</v>
      </c>
      <c r="M60" s="7">
        <f>IF($E$17-COLUMN()+5=0,Вводные!$BG$33,0)</f>
        <v>0</v>
      </c>
      <c r="N60" s="7">
        <f>IF($E$17-COLUMN()+5=0,Вводные!$BG$33,0)</f>
        <v>0</v>
      </c>
      <c r="O60" s="7">
        <f>IF($E$17-COLUMN()+5=0,Вводные!$BG$33,0)</f>
        <v>0</v>
      </c>
      <c r="P60" s="7">
        <f>IF($E$17-COLUMN()+5=0,Вводные!$BG$33,0)</f>
        <v>0</v>
      </c>
      <c r="Q60" s="7">
        <f>IF($E$17-COLUMN()+5=0,Вводные!$BG$33,0)</f>
        <v>0</v>
      </c>
      <c r="S60" s="7">
        <f>F60</f>
        <v>9000</v>
      </c>
      <c r="T60" s="7">
        <f t="shared" ref="T60:AQ60" si="6">G60</f>
        <v>0</v>
      </c>
      <c r="U60" s="7">
        <f t="shared" si="6"/>
        <v>0</v>
      </c>
      <c r="V60" s="7">
        <f t="shared" si="6"/>
        <v>0</v>
      </c>
      <c r="W60" s="7">
        <f t="shared" si="6"/>
        <v>0</v>
      </c>
      <c r="X60" s="7">
        <f t="shared" si="6"/>
        <v>0</v>
      </c>
      <c r="Y60" s="7">
        <f t="shared" si="6"/>
        <v>0</v>
      </c>
      <c r="Z60" s="7">
        <f t="shared" si="6"/>
        <v>0</v>
      </c>
      <c r="AA60" s="7">
        <f t="shared" si="6"/>
        <v>0</v>
      </c>
      <c r="AB60" s="7">
        <f t="shared" si="6"/>
        <v>0</v>
      </c>
      <c r="AC60" s="7">
        <f t="shared" si="6"/>
        <v>0</v>
      </c>
      <c r="AD60" s="7">
        <f t="shared" si="6"/>
        <v>0</v>
      </c>
      <c r="AE60" s="7">
        <f t="shared" si="6"/>
        <v>0</v>
      </c>
      <c r="AF60" s="7">
        <f t="shared" si="6"/>
        <v>9000</v>
      </c>
      <c r="AG60" s="7">
        <f t="shared" si="6"/>
        <v>0</v>
      </c>
      <c r="AH60" s="7">
        <f t="shared" si="6"/>
        <v>0</v>
      </c>
      <c r="AI60" s="7">
        <f t="shared" si="6"/>
        <v>0</v>
      </c>
      <c r="AJ60" s="7">
        <f t="shared" si="6"/>
        <v>0</v>
      </c>
      <c r="AK60" s="7">
        <f t="shared" si="6"/>
        <v>0</v>
      </c>
      <c r="AL60" s="7">
        <f t="shared" si="6"/>
        <v>0</v>
      </c>
      <c r="AM60" s="7">
        <f t="shared" si="6"/>
        <v>0</v>
      </c>
      <c r="AN60" s="7">
        <f t="shared" si="6"/>
        <v>0</v>
      </c>
      <c r="AO60" s="7">
        <f t="shared" si="6"/>
        <v>0</v>
      </c>
      <c r="AP60" s="7">
        <f t="shared" si="6"/>
        <v>0</v>
      </c>
      <c r="AQ60" s="7">
        <f t="shared" si="6"/>
        <v>0</v>
      </c>
    </row>
    <row r="61" spans="1:43" x14ac:dyDescent="0.25">
      <c r="A61" s="110"/>
    </row>
    <row r="62" spans="1:43" x14ac:dyDescent="0.25">
      <c r="A62" s="110" t="s">
        <v>78</v>
      </c>
      <c r="E62" s="7">
        <v>40</v>
      </c>
      <c r="F62" s="7">
        <v>30</v>
      </c>
      <c r="G62" s="7">
        <v>10</v>
      </c>
      <c r="H62" s="7">
        <v>10</v>
      </c>
      <c r="I62" s="7">
        <v>5</v>
      </c>
      <c r="J62" s="7">
        <v>5</v>
      </c>
    </row>
    <row r="63" spans="1:43" x14ac:dyDescent="0.25">
      <c r="A63" s="82" t="s">
        <v>79</v>
      </c>
      <c r="E63" s="111">
        <f ca="1">IF($D$17-COLUMN()+5&lt;=0,OFFSET(E62,0,-$D$17)/100*Вводные!$BG$31,0)</f>
        <v>24000</v>
      </c>
      <c r="F63" s="111">
        <f ca="1">IF($D$17-COLUMN()+5&lt;=0,OFFSET(F62,0,-$D$17)/100*Вводные!$BG$31,0)</f>
        <v>18000</v>
      </c>
      <c r="G63" s="111">
        <f ca="1">IF($D$17-COLUMN()+5&lt;=0,OFFSET(G62,0,-$D$17)/100*Вводные!$BG$31,0)</f>
        <v>6000</v>
      </c>
      <c r="H63" s="111">
        <f ca="1">IF($D$17-COLUMN()+5&lt;=0,OFFSET(H62,0,-$D$17)/100*Вводные!$BG$31,0)</f>
        <v>6000</v>
      </c>
      <c r="I63" s="111">
        <f ca="1">IF($D$17-COLUMN()+5&lt;=0,OFFSET(I62,0,-$D$17)/100*Вводные!$BG$31,0)</f>
        <v>3000</v>
      </c>
      <c r="J63" s="111">
        <f ca="1">IF($D$17-COLUMN()+5&lt;=0,OFFSET(J62,0,-$D$17)/100*Вводные!$BG$31,0)</f>
        <v>3000</v>
      </c>
      <c r="K63" s="111">
        <f ca="1">IF($D$17-COLUMN()+5&lt;=0,OFFSET(K62,0,-$D$17)/100*Вводные!$BG$31,0)</f>
        <v>0</v>
      </c>
      <c r="L63" s="111">
        <f ca="1">IF($D$17-COLUMN()+5&lt;=0,OFFSET(L62,0,-$D$17)/100*Вводные!$BG$31,0)</f>
        <v>0</v>
      </c>
      <c r="M63" s="111">
        <f ca="1">IF($D$17-COLUMN()+5&lt;=0,OFFSET(M62,0,-$D$17)/100*Вводные!$BG$31,0)</f>
        <v>0</v>
      </c>
      <c r="N63" s="111">
        <f ca="1">IF($D$17-COLUMN()+5&lt;=0,OFFSET(N62,0,-$D$17)/100*Вводные!$BG$31,0)</f>
        <v>0</v>
      </c>
      <c r="O63" s="111">
        <f ca="1">IF($D$17-COLUMN()+5&lt;=0,OFFSET(O62,0,-$D$17)/100*Вводные!$BG$31,0)</f>
        <v>0</v>
      </c>
      <c r="P63" s="111">
        <f ca="1">IF($D$17-COLUMN()+5&lt;=0,OFFSET(P62,0,-$D$17)/100*Вводные!$BG$31,0)</f>
        <v>0</v>
      </c>
      <c r="Q63" s="111">
        <f>E62/100*Вводные!$BG$31</f>
        <v>24000</v>
      </c>
      <c r="R63" s="111"/>
      <c r="S63" s="111">
        <f>F62/100*Вводные!$BG$31</f>
        <v>18000</v>
      </c>
      <c r="T63" s="111">
        <f>G62/100*Вводные!$BG$31</f>
        <v>6000</v>
      </c>
      <c r="U63" s="111">
        <f>H62/100*Вводные!$BG$31</f>
        <v>6000</v>
      </c>
      <c r="V63" s="111">
        <f>I62/100*Вводные!$BG$31</f>
        <v>3000</v>
      </c>
      <c r="W63" s="111">
        <f>J62/100*Вводные!$BG$31</f>
        <v>3000</v>
      </c>
      <c r="X63" s="111">
        <f>K62/100*Вводные!$BG$31</f>
        <v>0</v>
      </c>
      <c r="Y63" s="111">
        <f>L62/100*Вводные!$BG$31</f>
        <v>0</v>
      </c>
      <c r="Z63" s="111">
        <f>M62/100*Вводные!$BG$31</f>
        <v>0</v>
      </c>
      <c r="AA63" s="111">
        <f>N62/100*Вводные!$BG$31</f>
        <v>0</v>
      </c>
      <c r="AB63" s="111">
        <f ca="1">OFFSET(AB62,0,$D$17)/100*Вводные!$BG$31</f>
        <v>0</v>
      </c>
      <c r="AC63" s="111">
        <f ca="1">OFFSET(AC62,0,$D$17)/100*Вводные!$BG$31</f>
        <v>0</v>
      </c>
      <c r="AD63" s="111">
        <f>E62/100*Вводные!$BG$31</f>
        <v>24000</v>
      </c>
      <c r="AE63" s="111">
        <f>SUBTOTAL(9,AF63:AR63)</f>
        <v>36000</v>
      </c>
      <c r="AF63" s="111">
        <f>F62/100*Вводные!$BG$31</f>
        <v>18000</v>
      </c>
      <c r="AG63" s="111">
        <f>G62/100*Вводные!$BG$31</f>
        <v>6000</v>
      </c>
      <c r="AH63" s="111">
        <f>H62/100*Вводные!$BG$31</f>
        <v>6000</v>
      </c>
      <c r="AI63" s="111">
        <f>I62/100*Вводные!$BG$31</f>
        <v>3000</v>
      </c>
      <c r="AJ63" s="111">
        <f>J62/100*Вводные!$BG$31</f>
        <v>3000</v>
      </c>
      <c r="AK63" s="111">
        <f>K62/100*Вводные!$BG$31</f>
        <v>0</v>
      </c>
      <c r="AL63" s="111">
        <f>L62/100*Вводные!$BG$31</f>
        <v>0</v>
      </c>
      <c r="AM63" s="111">
        <f>M62/100*Вводные!$BG$31</f>
        <v>0</v>
      </c>
      <c r="AN63" s="111">
        <f>N62/100*Вводные!$BG$31</f>
        <v>0</v>
      </c>
      <c r="AO63" s="111">
        <f>O62/100*Вводные!$BG$31</f>
        <v>0</v>
      </c>
      <c r="AP63" s="111">
        <f>P62/100*Вводные!$BG$31</f>
        <v>0</v>
      </c>
      <c r="AQ63" s="111">
        <f>Q62/100*Вводные!$BG$31</f>
        <v>0</v>
      </c>
    </row>
    <row r="64" spans="1:43" x14ac:dyDescent="0.25">
      <c r="A64" s="110"/>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row>
    <row r="65" spans="1:43" x14ac:dyDescent="0.25">
      <c r="A65" s="82" t="s">
        <v>136</v>
      </c>
      <c r="E65" s="111">
        <f>IF(AND($D$17-COLUMN()+5&lt;=0,E$20=1),Вводные!$BG$27,0)</f>
        <v>1000</v>
      </c>
      <c r="F65" s="111">
        <f>IF(AND($D$17-COLUMN()+5&lt;=0,F$20=1),Вводные!$BG$27,0)</f>
        <v>1000</v>
      </c>
      <c r="G65" s="111">
        <f>IF(AND($D$17-COLUMN()+5&lt;=0,G$20=1),Вводные!$BG$27,0)</f>
        <v>1000</v>
      </c>
      <c r="H65" s="111">
        <f>IF(AND($D$17-COLUMN()+5&lt;=0,H$20=1),Вводные!$BG$27,0)</f>
        <v>1000</v>
      </c>
      <c r="I65" s="111">
        <f>IF(AND($D$17-COLUMN()+5&lt;=0,I$20=1),Вводные!$BG$27,0)</f>
        <v>1000</v>
      </c>
      <c r="J65" s="111">
        <f>IF(AND($D$17-COLUMN()+5&lt;=0,J$20=1),Вводные!$BG$27,0)</f>
        <v>1000</v>
      </c>
      <c r="K65" s="111">
        <f>IF(AND($D$17-COLUMN()+5&lt;=0,K$20=1),Вводные!$BG$27,0)</f>
        <v>1000</v>
      </c>
      <c r="L65" s="111">
        <f>IF(AND($D$17-COLUMN()+5&lt;=0,L$20=1),Вводные!$BG$27,0)</f>
        <v>1000</v>
      </c>
      <c r="M65" s="111">
        <f>IF(AND($D$17-COLUMN()+5&lt;=0,M$20=1),Вводные!$BG$27,0)</f>
        <v>1000</v>
      </c>
      <c r="N65" s="111">
        <f>IF(AND($D$17-COLUMN()+5&lt;=0,N$20=1),Вводные!$BG$27,0)</f>
        <v>1000</v>
      </c>
      <c r="O65" s="111">
        <f>IF(AND($D$17-COLUMN()+5&lt;=0,O$20=1),Вводные!$BG$27,0)</f>
        <v>1000</v>
      </c>
      <c r="P65" s="111">
        <f>IF(AND($D$17-COLUMN()+5&lt;=0,P$20=1),Вводные!$BG$27,0)</f>
        <v>1000</v>
      </c>
      <c r="Q65" s="111">
        <f>IF(AND($D$17-COLUMN()+5&lt;=0,Q$20=1),Вводные!$BG$27,0)</f>
        <v>1000</v>
      </c>
      <c r="R65" s="111">
        <f>IF(AND($D$17-COLUMN()+5&lt;=0,R$20=1),Вводные!$BG$27,0)</f>
        <v>0</v>
      </c>
      <c r="S65" s="111">
        <f>IF(AND($D$17-COLUMN()+5&lt;=0,S$20=1),Вводные!$BG$27,0)</f>
        <v>1000</v>
      </c>
      <c r="T65" s="111">
        <f>IF(AND($D$17-COLUMN()+5&lt;=0,T$20=1),Вводные!$BG$27,0)</f>
        <v>1000</v>
      </c>
      <c r="U65" s="111">
        <f>IF(AND($D$17-COLUMN()+5&lt;=0,U$20=1),Вводные!$BG$27,0)</f>
        <v>1000</v>
      </c>
      <c r="V65" s="111">
        <f>IF(AND($D$17-COLUMN()+5&lt;=0,V$20=1),Вводные!$BG$27,0)</f>
        <v>1000</v>
      </c>
      <c r="W65" s="111">
        <f>IF(AND($D$17-COLUMN()+5&lt;=0,W$20=1),Вводные!$BG$27,0)</f>
        <v>1000</v>
      </c>
      <c r="X65" s="111">
        <f>IF(AND($D$17-COLUMN()+5&lt;=0,X$20=1),Вводные!$BG$27,0)</f>
        <v>1000</v>
      </c>
      <c r="Y65" s="111">
        <f>IF(AND($D$17-COLUMN()+5&lt;=0,Y$20=1),Вводные!$BG$27,0)</f>
        <v>1000</v>
      </c>
      <c r="Z65" s="111">
        <f>IF(AND($D$17-COLUMN()+5&lt;=0,Z$20=1),Вводные!$BG$27,0)</f>
        <v>1000</v>
      </c>
      <c r="AA65" s="111">
        <f>IF(AND($D$17-COLUMN()+5&lt;=0,AA$20=1),Вводные!$BG$27,0)</f>
        <v>1000</v>
      </c>
      <c r="AB65" s="111">
        <f>IF(AND($D$17-COLUMN()+5&lt;=0,AB$20=1),Вводные!$BG$27,0)</f>
        <v>1000</v>
      </c>
      <c r="AC65" s="111">
        <f>IF(AND($D$17-COLUMN()+5&lt;=0,AC$20=1),Вводные!$BG$27,0)</f>
        <v>1000</v>
      </c>
      <c r="AD65" s="111">
        <f>IF(AND($D$17-COLUMN()+5&lt;=0,AD$20=1),Вводные!$BG$27,0)</f>
        <v>1000</v>
      </c>
      <c r="AE65" s="111">
        <f>IF(AND($D$17-COLUMN()+5&lt;=0,AE$20=1),Вводные!$BG$27,0)</f>
        <v>0</v>
      </c>
      <c r="AF65" s="111">
        <f>IF(AND($D$17-COLUMN()+5&lt;=0,AF$20=1),Вводные!$BG$27,0)</f>
        <v>1000</v>
      </c>
      <c r="AG65" s="111">
        <f>IF(AND($D$17-COLUMN()+5&lt;=0,AG$20=1),Вводные!$BG$27,0)</f>
        <v>1000</v>
      </c>
      <c r="AH65" s="111">
        <f>IF(AND($D$17-COLUMN()+5&lt;=0,AH$20=1),Вводные!$BG$27,0)</f>
        <v>1000</v>
      </c>
      <c r="AI65" s="111">
        <f>IF(AND($D$17-COLUMN()+5&lt;=0,AI$20=1),Вводные!$BG$27,0)</f>
        <v>1000</v>
      </c>
      <c r="AJ65" s="111">
        <f>IF(AND($D$17-COLUMN()+5&lt;=0,AJ$20=1),Вводные!$BG$27,0)</f>
        <v>1000</v>
      </c>
      <c r="AK65" s="111">
        <f>IF(AND($D$17-COLUMN()+5&lt;=0,AK$20=1),Вводные!$BG$27,0)</f>
        <v>1000</v>
      </c>
      <c r="AL65" s="111">
        <f>IF(AND($D$17-COLUMN()+5&lt;=0,AL$20=1),Вводные!$BG$27,0)</f>
        <v>1000</v>
      </c>
      <c r="AM65" s="111">
        <f>IF(AND($D$17-COLUMN()+5&lt;=0,AM$20=1),Вводные!$BG$27,0)</f>
        <v>1000</v>
      </c>
      <c r="AN65" s="111">
        <f>IF(AND($D$17-COLUMN()+5&lt;=0,AN$20=1),Вводные!$BG$27,0)</f>
        <v>1000</v>
      </c>
      <c r="AO65" s="111">
        <f>IF(AND($D$17-COLUMN()+5&lt;=0,AO$20=1),Вводные!$BG$27,0)</f>
        <v>1000</v>
      </c>
      <c r="AP65" s="111">
        <f>IF(AND($D$17-COLUMN()+5&lt;=0,AP$20=1),Вводные!$BG$27,0)</f>
        <v>1000</v>
      </c>
      <c r="AQ65" s="111">
        <f>IF(AND($D$17-COLUMN()+5&lt;=0,AQ$20=1),Вводные!$BG$27,0)</f>
        <v>1000</v>
      </c>
    </row>
    <row r="66" spans="1:43" x14ac:dyDescent="0.25">
      <c r="A66" s="82" t="s">
        <v>137</v>
      </c>
      <c r="E66" s="111"/>
      <c r="F66" s="111">
        <f>IF(F$20=1,Результат!Q8*Вводные!$BG$28/100,0)</f>
        <v>4274.2874999999995</v>
      </c>
      <c r="G66" s="111">
        <f>IF(G$20=1,Результат!R8*Вводные!$BG$28/100,0)</f>
        <v>6106.125</v>
      </c>
      <c r="H66" s="111">
        <f>IF(H$20=1,Результат!S8*Вводные!$BG$28/100,0)</f>
        <v>6716.7375000000002</v>
      </c>
      <c r="I66" s="111">
        <f>IF(I$20=1,Результат!T8*Вводные!$BG$28/100,0)</f>
        <v>8393.9624999999996</v>
      </c>
      <c r="J66" s="111">
        <f>IF(J$20=1,Результат!U8*Вводные!$BG$28/100,0)</f>
        <v>7783.35</v>
      </c>
      <c r="K66" s="111">
        <f>IF(K$20=1,Результат!V8*Вводные!$BG$28/100,0)</f>
        <v>8393.9624999999996</v>
      </c>
      <c r="L66" s="111">
        <f>IF(L$20=1,Результат!W8*Вводные!$BG$28/100,0)</f>
        <v>8393.9624999999996</v>
      </c>
      <c r="M66" s="111">
        <f>IF(M$20=1,Результат!X8*Вводные!$BG$28/100,0)</f>
        <v>8393.9624999999996</v>
      </c>
      <c r="N66" s="111">
        <f>IF(N$20=1,Результат!Y8*Вводные!$BG$28/100,0)</f>
        <v>7783.35</v>
      </c>
      <c r="O66" s="111">
        <f>IF(O$20=1,Результат!Z8*Вводные!$BG$28/100,0)</f>
        <v>2850</v>
      </c>
      <c r="P66" s="111">
        <f>IF(P$20=1,Результат!AA8*Вводные!$BG$28/100,0)</f>
        <v>2850</v>
      </c>
      <c r="Q66" s="111">
        <f>IF(Q$20=1,Результат!AB8*Вводные!$BG$28/100,0)</f>
        <v>2850</v>
      </c>
      <c r="R66" s="111">
        <f>IF(R$20=1,Результат!E8*Вводные!$BG$28/100,0)</f>
        <v>0</v>
      </c>
      <c r="S66" s="111">
        <f>IF(S$20=1,Результат!AD8*Вводные!$BG$28/100,0)</f>
        <v>8304.3299999999981</v>
      </c>
      <c r="T66" s="111">
        <f>IF(T$20=1,Результат!AE8*Вводные!$BG$28/100,0)</f>
        <v>8914.9424999999992</v>
      </c>
      <c r="U66" s="111">
        <f>IF(U$20=1,Результат!AF8*Вводные!$BG$28/100,0)</f>
        <v>8914.9424999999992</v>
      </c>
      <c r="V66" s="111">
        <f>IF(V$20=1,Результат!AG8*Вводные!$BG$28/100,0)</f>
        <v>9370.9424999999992</v>
      </c>
      <c r="W66" s="111">
        <f>IF(W$20=1,Результат!AH8*Вводные!$BG$28/100,0)</f>
        <v>8638.2075000000004</v>
      </c>
      <c r="X66" s="111">
        <f>IF(X$20=1,Результат!AI8*Вводные!$BG$28/100,0)</f>
        <v>9370.9424999999992</v>
      </c>
      <c r="Y66" s="111">
        <f>IF(Y$20=1,Результат!AJ8*Вводные!$BG$28/100,0)</f>
        <v>9370.9424999999992</v>
      </c>
      <c r="Z66" s="111">
        <f>IF(Z$20=1,Результат!AK8*Вводные!$BG$28/100,0)</f>
        <v>9370.9424999999992</v>
      </c>
      <c r="AA66" s="111">
        <f>IF(AA$20=1,Результат!AL8*Вводные!$BG$28/100,0)</f>
        <v>8638.2075000000004</v>
      </c>
      <c r="AB66" s="111">
        <f>IF(AB$20=1,Результат!AM8*Вводные!$BG$28/100,0)</f>
        <v>2850</v>
      </c>
      <c r="AC66" s="111">
        <f>IF(AC$20=1,Результат!AN8*Вводные!$BG$28/100,0)</f>
        <v>2850</v>
      </c>
      <c r="AD66" s="111">
        <f>IF(AD$20=1,Результат!AO8*Вводные!$BG$28/100,0)</f>
        <v>2850</v>
      </c>
      <c r="AE66" s="111">
        <f>IF(AE$20=1,Результат!F8*Вводные!$BG$28/100,0)</f>
        <v>0</v>
      </c>
      <c r="AF66" s="111">
        <f>IF(AF$20=1,Результат!AQ8*Вводные!$BG$28/100,0)</f>
        <v>9281.3100000000031</v>
      </c>
      <c r="AG66" s="111">
        <f>IF(AG$20=1,Результат!AR8*Вводные!$BG$28/100,0)</f>
        <v>10014.045</v>
      </c>
      <c r="AH66" s="111">
        <f>IF(AH$20=1,Результат!AS8*Вводные!$BG$28/100,0)</f>
        <v>10258.290000000001</v>
      </c>
      <c r="AI66" s="111">
        <f>IF(AI$20=1,Результат!AT8*Вводные!$BG$28/100,0)</f>
        <v>10714.29</v>
      </c>
      <c r="AJ66" s="111">
        <f>IF(AJ$20=1,Результат!AU8*Вводные!$BG$28/100,0)</f>
        <v>9859.4325000000008</v>
      </c>
      <c r="AK66" s="111">
        <f>IF(AK$20=1,Результат!AV8*Вводные!$BG$28/100,0)</f>
        <v>10714.29</v>
      </c>
      <c r="AL66" s="111">
        <f>IF(AL$20=1,Результат!AW8*Вводные!$BG$28/100,0)</f>
        <v>10714.29</v>
      </c>
      <c r="AM66" s="111">
        <f>IF(AM$20=1,Результат!AX8*Вводные!$BG$28/100,0)</f>
        <v>10714.29</v>
      </c>
      <c r="AN66" s="111">
        <f>IF(AN$20=1,Результат!AY8*Вводные!$BG$28/100,0)</f>
        <v>9859.4325000000008</v>
      </c>
      <c r="AO66" s="111">
        <f>IF(AO$20=1,Результат!AZ8*Вводные!$BG$28/100,0)</f>
        <v>2850</v>
      </c>
      <c r="AP66" s="111">
        <f>IF(AP$20=1,Результат!BA8*Вводные!$BG$28/100,0)</f>
        <v>2850</v>
      </c>
      <c r="AQ66" s="111">
        <f>IF(AQ$20=1,Результат!BB8*Вводные!$BG$28/100,0)</f>
        <v>2850</v>
      </c>
    </row>
    <row r="67" spans="1:43" x14ac:dyDescent="0.25">
      <c r="A67" s="110"/>
    </row>
    <row r="68" spans="1:43" x14ac:dyDescent="0.25">
      <c r="A68" s="110" t="s">
        <v>76</v>
      </c>
    </row>
    <row r="69" spans="1:43" x14ac:dyDescent="0.25">
      <c r="A69" s="131" t="s">
        <v>109</v>
      </c>
      <c r="C69" s="7">
        <f>IF(AND(Вводные!$BG$37&lt;=3000,Вводные!$BG$37&gt;0),Вводные!$BG$37,0)</f>
        <v>1500</v>
      </c>
      <c r="E69" s="7">
        <f>IF(E41&gt;0,Вводные!$BH$14*$C$69,0)</f>
        <v>0</v>
      </c>
      <c r="F69" s="7">
        <f>IF(F41&gt;0,Вводные!$BH$14*$C$69,0)</f>
        <v>129000</v>
      </c>
      <c r="G69" s="7">
        <f>IF(G41&gt;0,Вводные!$BH$14*$C$69,0)</f>
        <v>129000</v>
      </c>
      <c r="H69" s="7">
        <f>IF(H41&gt;0,Вводные!$BH$14*$C$69,0)</f>
        <v>129000</v>
      </c>
      <c r="I69" s="7">
        <f>IF(I41&gt;0,Вводные!$BH$14*$C$69*IF(I$41/Вводные!$D$13&lt;0.67,I$41/Вводные!$D$13*1.35,1),0)</f>
        <v>113197.50000000001</v>
      </c>
      <c r="J69" s="7">
        <f>IF(J41&gt;0,Вводные!$BH$14*$C$69*IF(J$41/Вводные!$D$13&lt;0.67,J$41/Вводные!$D$13*1.35,1),0)</f>
        <v>104490</v>
      </c>
      <c r="K69" s="7">
        <f>IF(K41&gt;0,Вводные!$BH$14*$C$69*IF(K$41/Вводные!$D$13&lt;0.67,K$41/Вводные!$D$13*1.35,1),0)</f>
        <v>113197.50000000001</v>
      </c>
      <c r="L69" s="7">
        <f>IF(L41&gt;0,Вводные!$BH$14*$C$69*IF(L$41/Вводные!$D$13&lt;0.67,L$41/Вводные!$D$13*1.35,1),0)</f>
        <v>113197.50000000001</v>
      </c>
      <c r="M69" s="7">
        <f>IF(M41&gt;0,Вводные!$BH$14*$C$69*IF(M$41/Вводные!$D$13&lt;0.67,M$41/Вводные!$D$13*1.35,1),0)</f>
        <v>113197.50000000001</v>
      </c>
      <c r="N69" s="7">
        <f>IF(N41&gt;0,Вводные!$BH$14*$C$69*IF(N$41/Вводные!$D$13&lt;0.67,N$41/Вводные!$D$13*1.35,1),0)</f>
        <v>104490</v>
      </c>
      <c r="O69" s="7">
        <f>IF(O41&gt;0,Вводные!$BH$14*$C$69*IF(O$41/Вводные!$D$13&lt;0.67,O$41/Вводные!$D$13*1.35,1),0)</f>
        <v>0</v>
      </c>
      <c r="P69" s="7">
        <f>IF(P41&gt;0,Вводные!$BH$14*$C$69*IF(P$41/Вводные!$D$13&lt;0.67,P$41/Вводные!$D$13*1.35,1),0)</f>
        <v>0</v>
      </c>
      <c r="Q69" s="7">
        <f>IF(Q41&gt;0,Вводные!$BH$14*$C$69*IF(Q$41/Вводные!$D$13&lt;0.67,Q$41/Вводные!$D$13*1.35,1),0)</f>
        <v>0</v>
      </c>
      <c r="R69" s="7">
        <f>IF(R41&gt;0,Вводные!$BH$14*$C$69*IF(R$41/Вводные!$D$13&lt;0.67,R$41/Вводные!$D$13*1.35,1),0)</f>
        <v>0</v>
      </c>
      <c r="S69" s="7">
        <f>IF(S41&gt;0,Вводные!$BH$14*$C$69*IF(S$41/Вводные!$D$13&lt;0.67,S$41/Вводные!$D$13*1.35,1),0)</f>
        <v>129000</v>
      </c>
      <c r="T69" s="7">
        <f>IF(T41&gt;0,Вводные!$BH$14*$C$69*IF(T$41/Вводные!$D$13&lt;0.67,T$41/Вводные!$D$13*1.35,1),0)</f>
        <v>129000</v>
      </c>
      <c r="U69" s="7">
        <f>IF(U41&gt;0,Вводные!$BH$14*$C$69*IF(U$41/Вводные!$D$13&lt;0.67,U$41/Вводные!$D$13*1.35,1),0)</f>
        <v>129000</v>
      </c>
      <c r="V69" s="7">
        <f>IF(V41&gt;0,Вводные!$BH$14*$C$69*IF(V$41/Вводные!$D$13&lt;0.67,V$41/Вводные!$D$13*1.35,1),0)</f>
        <v>129000</v>
      </c>
      <c r="W69" s="7">
        <f>IF(W41&gt;0,Вводные!$BH$14*$C$69*IF(W$41/Вводные!$D$13&lt;0.67,W$41/Вводные!$D$13*1.35,1),0)</f>
        <v>129000</v>
      </c>
      <c r="X69" s="7">
        <f>IF(X41&gt;0,Вводные!$BH$14*$C$69*IF(X$41/Вводные!$D$13&lt;0.67,X$41/Вводные!$D$13*1.35,1),0)</f>
        <v>129000</v>
      </c>
      <c r="Y69" s="7">
        <f>IF(Y41&gt;0,Вводные!$BH$14*$C$69*IF(Y$41/Вводные!$D$13&lt;0.67,Y$41/Вводные!$D$13*1.35,1),0)</f>
        <v>129000</v>
      </c>
      <c r="Z69" s="7">
        <f>IF(Z41&gt;0,Вводные!$BH$14*$C$69*IF(Z$41/Вводные!$D$13&lt;0.67,Z$41/Вводные!$D$13*1.35,1),0)</f>
        <v>129000</v>
      </c>
      <c r="AA69" s="7">
        <f>IF(AA41&gt;0,Вводные!$BH$14*$C$69*IF(AA$41/Вводные!$D$13&lt;0.67,AA$41/Вводные!$D$13*1.35,1),0)</f>
        <v>129000</v>
      </c>
      <c r="AB69" s="7">
        <f>IF(AB41&gt;0,Вводные!$BH$14*$C$69*IF(AB$41/Вводные!$D$13&lt;0.67,AB$41/Вводные!$D$13*1.35,1),0)</f>
        <v>0</v>
      </c>
      <c r="AC69" s="7">
        <f>IF(AC41&gt;0,Вводные!$BH$14*$C$69*IF(AC$41/Вводные!$D$13&lt;0.67,AC$41/Вводные!$D$13*1.35,1),0)</f>
        <v>0</v>
      </c>
      <c r="AD69" s="7">
        <f>IF(AD41&gt;0,Вводные!$BH$14*$C$69*IF(AD$41/Вводные!$D$13&lt;0.67,AD$41/Вводные!$D$13*1.35,1),0)</f>
        <v>0</v>
      </c>
      <c r="AE69" s="7">
        <f>IF(AE41&gt;0,Вводные!$BH$14*$C$69*IF(AE$41/Вводные!$D$13&lt;0.67,AE$41/Вводные!$D$13*1.35,1),0)</f>
        <v>0</v>
      </c>
      <c r="AF69" s="7">
        <f>IF(AF41&gt;0,Вводные!$BH$14*$C$69*IF(AF$41/Вводные!$D$13&lt;0.67,AF$41/Вводные!$D$13*1.35,1),0)</f>
        <v>129000</v>
      </c>
      <c r="AG69" s="7">
        <f>IF(AG41&gt;0,Вводные!$BH$14*$C$69*IF(AG$41/Вводные!$D$13&lt;0.67,AG$41/Вводные!$D$13*1.35,1),0)</f>
        <v>129000</v>
      </c>
      <c r="AH69" s="7">
        <f>IF(AH41&gt;0,Вводные!$BH$14*$C$69*IF(AH$41/Вводные!$D$13&lt;0.67,AH$41/Вводные!$D$13*1.35,1),0)</f>
        <v>129000</v>
      </c>
      <c r="AI69" s="7">
        <f>IF(AI41&gt;0,Вводные!$BH$14*$C$69*IF(AI$41/Вводные!$D$13&lt;0.67,AI$41/Вводные!$D$13*1.35,1),0)</f>
        <v>129000</v>
      </c>
      <c r="AJ69" s="7">
        <f>IF(AJ41&gt;0,Вводные!$BH$14*$C$69*IF(AJ$41/Вводные!$D$13&lt;0.67,AJ$41/Вводные!$D$13*1.35,1),0)</f>
        <v>129000</v>
      </c>
      <c r="AK69" s="7">
        <f>IF(AK41&gt;0,Вводные!$BH$14*$C$69*IF(AK$41/Вводные!$D$13&lt;0.67,AK$41/Вводные!$D$13*1.35,1),0)</f>
        <v>129000</v>
      </c>
      <c r="AL69" s="7">
        <f>IF(AL41&gt;0,Вводные!$BH$14*$C$69*IF(AL$41/Вводные!$D$13&lt;0.67,AL$41/Вводные!$D$13*1.35,1),0)</f>
        <v>129000</v>
      </c>
      <c r="AM69" s="7">
        <f>IF(AM41&gt;0,Вводные!$BH$14*$C$69*IF(AM$41/Вводные!$D$13&lt;0.67,AM$41/Вводные!$D$13*1.35,1),0)</f>
        <v>129000</v>
      </c>
      <c r="AN69" s="7">
        <f>IF(AN41&gt;0,Вводные!$BH$14*$C$69*IF(AN$41/Вводные!$D$13&lt;0.67,AN$41/Вводные!$D$13*1.35,1),0)</f>
        <v>129000</v>
      </c>
      <c r="AO69" s="7">
        <f>IF(AO41&gt;0,Вводные!$BH$14*$C$69*IF(AO$41/Вводные!$D$13&lt;0.67,AO$41/Вводные!$D$13*1.35,1),0)</f>
        <v>0</v>
      </c>
      <c r="AP69" s="7">
        <f>IF(AP41&gt;0,Вводные!$BH$14*$C$69*IF(AP$41/Вводные!$D$13&lt;0.67,AP$41/Вводные!$D$13*1.35,1),0)</f>
        <v>0</v>
      </c>
      <c r="AQ69" s="7">
        <f>IF(AQ41&gt;0,Вводные!$BH$14*$C$69*IF(AQ$41/Вводные!$D$13&lt;0.67,AQ$41/Вводные!$D$13*1.35,1),0)</f>
        <v>0</v>
      </c>
    </row>
    <row r="70" spans="1:43" x14ac:dyDescent="0.25">
      <c r="A70" s="131" t="s">
        <v>111</v>
      </c>
      <c r="C70" s="7">
        <f>IF(AND(Вводные!$BG$37&gt;3000,Вводные!$BG$37&gt;0),Вводные!$BG$37,0)</f>
        <v>0</v>
      </c>
      <c r="E70" s="7">
        <f>IF(E41&gt;0,$C$70,0)</f>
        <v>0</v>
      </c>
      <c r="F70" s="7">
        <f t="shared" ref="F70:AQ70" si="7">IF(F41&gt;0,$C$70,0)</f>
        <v>0</v>
      </c>
      <c r="G70" s="7">
        <f t="shared" si="7"/>
        <v>0</v>
      </c>
      <c r="H70" s="7">
        <f t="shared" si="7"/>
        <v>0</v>
      </c>
      <c r="I70" s="7">
        <f t="shared" si="7"/>
        <v>0</v>
      </c>
      <c r="J70" s="7">
        <f t="shared" si="7"/>
        <v>0</v>
      </c>
      <c r="K70" s="7">
        <f t="shared" si="7"/>
        <v>0</v>
      </c>
      <c r="L70" s="7">
        <f t="shared" si="7"/>
        <v>0</v>
      </c>
      <c r="M70" s="7">
        <f t="shared" si="7"/>
        <v>0</v>
      </c>
      <c r="N70" s="7">
        <f t="shared" si="7"/>
        <v>0</v>
      </c>
      <c r="O70" s="7">
        <f t="shared" si="7"/>
        <v>0</v>
      </c>
      <c r="P70" s="7">
        <f t="shared" si="7"/>
        <v>0</v>
      </c>
      <c r="Q70" s="7">
        <f t="shared" si="7"/>
        <v>0</v>
      </c>
      <c r="R70" s="7">
        <f t="shared" si="7"/>
        <v>0</v>
      </c>
      <c r="S70" s="7">
        <f t="shared" si="7"/>
        <v>0</v>
      </c>
      <c r="T70" s="7">
        <f t="shared" si="7"/>
        <v>0</v>
      </c>
      <c r="U70" s="7">
        <f t="shared" si="7"/>
        <v>0</v>
      </c>
      <c r="V70" s="7">
        <f t="shared" si="7"/>
        <v>0</v>
      </c>
      <c r="W70" s="7">
        <f t="shared" si="7"/>
        <v>0</v>
      </c>
      <c r="X70" s="7">
        <f t="shared" si="7"/>
        <v>0</v>
      </c>
      <c r="Y70" s="7">
        <f t="shared" si="7"/>
        <v>0</v>
      </c>
      <c r="Z70" s="7">
        <f t="shared" si="7"/>
        <v>0</v>
      </c>
      <c r="AA70" s="7">
        <f t="shared" si="7"/>
        <v>0</v>
      </c>
      <c r="AB70" s="7">
        <f t="shared" si="7"/>
        <v>0</v>
      </c>
      <c r="AC70" s="7">
        <f t="shared" si="7"/>
        <v>0</v>
      </c>
      <c r="AD70" s="7">
        <f t="shared" si="7"/>
        <v>0</v>
      </c>
      <c r="AE70" s="7">
        <f t="shared" si="7"/>
        <v>0</v>
      </c>
      <c r="AF70" s="7">
        <f t="shared" si="7"/>
        <v>0</v>
      </c>
      <c r="AG70" s="7">
        <f t="shared" si="7"/>
        <v>0</v>
      </c>
      <c r="AH70" s="7">
        <f t="shared" si="7"/>
        <v>0</v>
      </c>
      <c r="AI70" s="7">
        <f t="shared" si="7"/>
        <v>0</v>
      </c>
      <c r="AJ70" s="7">
        <f t="shared" si="7"/>
        <v>0</v>
      </c>
      <c r="AK70" s="7">
        <f t="shared" si="7"/>
        <v>0</v>
      </c>
      <c r="AL70" s="7">
        <f t="shared" si="7"/>
        <v>0</v>
      </c>
      <c r="AM70" s="7">
        <f t="shared" si="7"/>
        <v>0</v>
      </c>
      <c r="AN70" s="7">
        <f t="shared" si="7"/>
        <v>0</v>
      </c>
      <c r="AO70" s="7">
        <f t="shared" si="7"/>
        <v>0</v>
      </c>
      <c r="AP70" s="7">
        <f t="shared" si="7"/>
        <v>0</v>
      </c>
      <c r="AQ70" s="7">
        <f t="shared" si="7"/>
        <v>0</v>
      </c>
    </row>
    <row r="72" spans="1:43" x14ac:dyDescent="0.25">
      <c r="A72" s="110" t="s">
        <v>89</v>
      </c>
      <c r="E72" s="7">
        <f>IF($E$17-COLUMN()+5&lt;=0,Вводные!$BG$38,0)</f>
        <v>0</v>
      </c>
      <c r="F72" s="7">
        <f>IF($E$17-COLUMN()+5&lt;=0,Вводные!$BG$38,0)</f>
        <v>40000</v>
      </c>
      <c r="G72" s="7">
        <f>IF($E$17-COLUMN()+5&lt;=0,Вводные!$BG$38,0)</f>
        <v>40000</v>
      </c>
      <c r="H72" s="7">
        <f>IF($E$17-COLUMN()+5&lt;=0,Вводные!$BG$38,0)</f>
        <v>40000</v>
      </c>
      <c r="I72" s="7">
        <f>IF($E$17-COLUMN()+5&lt;=0,Вводные!$BG$38,0)</f>
        <v>40000</v>
      </c>
      <c r="J72" s="7">
        <f>IF($E$17-COLUMN()+5&lt;=0,Вводные!$BG$38,0)</f>
        <v>40000</v>
      </c>
      <c r="K72" s="7">
        <f>IF($E$17-COLUMN()+5&lt;=0,Вводные!$BG$38,0)</f>
        <v>40000</v>
      </c>
      <c r="L72" s="7">
        <f>IF($E$17-COLUMN()+5&lt;=0,Вводные!$BG$38,0)</f>
        <v>40000</v>
      </c>
      <c r="M72" s="7">
        <f>IF($E$17-COLUMN()+5&lt;=0,Вводные!$BG$38,0)</f>
        <v>40000</v>
      </c>
      <c r="N72" s="7">
        <f>IF($E$17-COLUMN()+5&lt;=0,Вводные!$BG$38,0)</f>
        <v>40000</v>
      </c>
      <c r="O72" s="7">
        <f>IF($E$17-COLUMN()+5&lt;=0,Вводные!$BG$38,0)</f>
        <v>40000</v>
      </c>
      <c r="P72" s="7">
        <f>IF($E$17-COLUMN()+5&lt;=0,Вводные!$BG$38,0)</f>
        <v>40000</v>
      </c>
      <c r="Q72" s="7">
        <f>IF($E$17-COLUMN()+5&lt;=0,Вводные!$BG$38,0)</f>
        <v>40000</v>
      </c>
      <c r="R72" s="7">
        <f>IF($E$17-COLUMN()+5&lt;=0,Вводные!$BG$38,0)</f>
        <v>40000</v>
      </c>
      <c r="S72" s="7">
        <f>IF($E$17-COLUMN()+5&lt;=0,Вводные!$BG$38,0)</f>
        <v>40000</v>
      </c>
      <c r="T72" s="7">
        <f>IF($E$17-COLUMN()+5&lt;=0,Вводные!$BG$38,0)</f>
        <v>40000</v>
      </c>
      <c r="U72" s="7">
        <f>IF($E$17-COLUMN()+5&lt;=0,Вводные!$BG$38,0)</f>
        <v>40000</v>
      </c>
      <c r="V72" s="7">
        <f>IF($E$17-COLUMN()+5&lt;=0,Вводные!$BG$38,0)</f>
        <v>40000</v>
      </c>
      <c r="W72" s="7">
        <f>IF($E$17-COLUMN()+5&lt;=0,Вводные!$BG$38,0)</f>
        <v>40000</v>
      </c>
      <c r="X72" s="7">
        <f>IF($E$17-COLUMN()+5&lt;=0,Вводные!$BG$38,0)</f>
        <v>40000</v>
      </c>
      <c r="Y72" s="7">
        <f>IF($E$17-COLUMN()+5&lt;=0,Вводные!$BG$38,0)</f>
        <v>40000</v>
      </c>
      <c r="Z72" s="7">
        <f>IF($E$17-COLUMN()+5&lt;=0,Вводные!$BG$38,0)</f>
        <v>40000</v>
      </c>
      <c r="AA72" s="7">
        <f>IF($E$17-COLUMN()+5&lt;=0,Вводные!$BG$38,0)</f>
        <v>40000</v>
      </c>
      <c r="AB72" s="7">
        <f>IF($E$17-COLUMN()+5&lt;=0,Вводные!$BG$38,0)</f>
        <v>40000</v>
      </c>
      <c r="AC72" s="7">
        <f>IF($E$17-COLUMN()+5&lt;=0,Вводные!$BG$38,0)</f>
        <v>40000</v>
      </c>
      <c r="AD72" s="7">
        <f>IF($E$17-COLUMN()+5&lt;=0,Вводные!$BG$38,0)</f>
        <v>40000</v>
      </c>
      <c r="AE72" s="7">
        <f>IF($E$17-COLUMN()+5&lt;=0,Вводные!$BG$38,0)</f>
        <v>40000</v>
      </c>
      <c r="AF72" s="7">
        <f>IF($E$17-COLUMN()+5&lt;=0,Вводные!$BG$38,0)</f>
        <v>40000</v>
      </c>
      <c r="AG72" s="7">
        <f>IF($E$17-COLUMN()+5&lt;=0,Вводные!$BG$38,0)</f>
        <v>40000</v>
      </c>
      <c r="AH72" s="7">
        <f>IF($E$17-COLUMN()+5&lt;=0,Вводные!$BG$38,0)</f>
        <v>40000</v>
      </c>
      <c r="AI72" s="7">
        <f>IF($E$17-COLUMN()+5&lt;=0,Вводные!$BG$38,0)</f>
        <v>40000</v>
      </c>
      <c r="AJ72" s="7">
        <f>IF($E$17-COLUMN()+5&lt;=0,Вводные!$BG$38,0)</f>
        <v>40000</v>
      </c>
      <c r="AK72" s="7">
        <f>IF($E$17-COLUMN()+5&lt;=0,Вводные!$BG$38,0)</f>
        <v>40000</v>
      </c>
      <c r="AL72" s="7">
        <f>IF($E$17-COLUMN()+5&lt;=0,Вводные!$BG$38,0)</f>
        <v>40000</v>
      </c>
      <c r="AM72" s="7">
        <f>IF($E$17-COLUMN()+5&lt;=0,Вводные!$BG$38,0)</f>
        <v>40000</v>
      </c>
      <c r="AN72" s="7">
        <f>IF($E$17-COLUMN()+5&lt;=0,Вводные!$BG$38,0)</f>
        <v>40000</v>
      </c>
      <c r="AO72" s="7">
        <f>IF($E$17-COLUMN()+5&lt;=0,Вводные!$BG$38,0)</f>
        <v>40000</v>
      </c>
      <c r="AP72" s="7">
        <f>IF($E$17-COLUMN()+5&lt;=0,Вводные!$BG$38,0)</f>
        <v>40000</v>
      </c>
      <c r="AQ72" s="7">
        <f>IF($E$17-COLUMN()+5&lt;=0,Вводные!$BG$38,0)</f>
        <v>40000</v>
      </c>
    </row>
    <row r="74" spans="1:43" x14ac:dyDescent="0.25">
      <c r="A74" s="110" t="s">
        <v>118</v>
      </c>
    </row>
    <row r="75" spans="1:43" x14ac:dyDescent="0.25">
      <c r="A75" s="7" t="s">
        <v>119</v>
      </c>
      <c r="B75" s="7">
        <f>IF(Вводные!$BG$42=Вспомогательный!$P$17,1,IF(Вводные!$BG$42=Вспомогательный!$P$16,0,IF(Вводные!$BG$42=Вспомогательный!$P$15,0,IF(ISNUMBER(Вводные!$BG$42)=TRUE,Вводные!$BG$42,0))))</f>
        <v>1</v>
      </c>
      <c r="F75" s="7">
        <f>IF($B$75=0,0,IF($B$75=1,Результат!Q17+Результат!Q18,IF(Результат!Q17+Результат!Q18&lt;&gt;0,$B$75,0)))</f>
        <v>169000</v>
      </c>
      <c r="G75" s="7">
        <f>IF($B$75=0,0,IF($B$75=1,Результат!R17+Результат!R18,IF(Результат!R17+Результат!R18&lt;&gt;0,$B$75,0)))</f>
        <v>169000</v>
      </c>
      <c r="H75" s="7">
        <f>IF($B$75=0,0,IF($B$75=1,Результат!S17+Результат!S18,IF(Результат!S17+Результат!S18&lt;&gt;0,$B$75,0)))</f>
        <v>169000</v>
      </c>
      <c r="I75" s="7">
        <f>IF($B$75=0,0,IF($B$75=1,Результат!T17+Результат!T18,IF(Результат!T17+Результат!T18&lt;&gt;0,$B$75,0)))</f>
        <v>161197.5</v>
      </c>
      <c r="J75" s="7">
        <f>IF($B$75=0,0,IF($B$75=1,Результат!U17+Результат!U18,IF(Результат!U17+Результат!U18&lt;&gt;0,$B$75,0)))</f>
        <v>152490</v>
      </c>
      <c r="K75" s="7">
        <f>IF($B$75=0,0,IF($B$75=1,Результат!V17+Результат!V18,IF(Результат!V17+Результат!V18&lt;&gt;0,$B$75,0)))</f>
        <v>161197.5</v>
      </c>
      <c r="L75" s="7">
        <f>IF($B$75=0,0,IF($B$75=1,Результат!W17+Результат!W18,IF(Результат!W17+Результат!W18&lt;&gt;0,$B$75,0)))</f>
        <v>161197.5</v>
      </c>
      <c r="M75" s="7">
        <f>IF($B$75=0,0,IF($B$75=1,Результат!X17+Результат!X18,IF(Результат!X17+Результат!X18&lt;&gt;0,$B$75,0)))</f>
        <v>161197.5</v>
      </c>
      <c r="N75" s="7">
        <f>IF($B$75=0,0,IF($B$75=1,Результат!Y17+Результат!Y18,IF(Результат!Y17+Результат!Y18&lt;&gt;0,$B$75,0)))</f>
        <v>152490</v>
      </c>
      <c r="O75" s="7">
        <f>IF($B$75=0,0,IF($B$75=1,Результат!Z17+Результат!Z18,IF(Результат!Z17+Результат!Z18&lt;&gt;0,$B$75,0)))</f>
        <v>133333.33333333334</v>
      </c>
      <c r="P75" s="7">
        <f>IF($B$75=0,0,IF($B$75=1,Результат!AA17+Результат!AA18,IF(Результат!AA17+Результат!AA18&lt;&gt;0,$B$75,0)))</f>
        <v>133333.33333333334</v>
      </c>
      <c r="Q75" s="7">
        <f>IF($B$75=0,0,IF($B$75=1,Результат!AB17+Результат!AB18,IF(Результат!AB17+Результат!AB18&lt;&gt;0,$B$75,0)))</f>
        <v>133333.33333333334</v>
      </c>
      <c r="R75" s="7">
        <f>IF($B$75=0,0,IF($B$75=1,Результат!E17+Результат!E18,IF(Результат!E17+Результат!E18&lt;&gt;0,$B$75,0)))</f>
        <v>1969000.0000000002</v>
      </c>
      <c r="S75" s="7">
        <f>IF($B$75=0,0,IF($B$75=1,Результат!AD17+Результат!AD18,IF(Результат!AD17+Результат!AD18&lt;&gt;0,$B$75,0)))</f>
        <v>169000</v>
      </c>
      <c r="T75" s="7">
        <f>IF($B$75=0,0,IF($B$75=1,Результат!AE17+Результат!AE18,IF(Результат!AE17+Результат!AE18&lt;&gt;0,$B$75,0)))</f>
        <v>169000</v>
      </c>
      <c r="U75" s="7">
        <f>IF($B$75=0,0,IF($B$75=1,Результат!AF17+Результат!AF18,IF(Результат!AF17+Результат!AF18&lt;&gt;0,$B$75,0)))</f>
        <v>169000</v>
      </c>
      <c r="V75" s="7">
        <f>IF($B$75=0,0,IF($B$75=1,Результат!AG17+Результат!AG18,IF(Результат!AG17+Результат!AG18&lt;&gt;0,$B$75,0)))</f>
        <v>177000</v>
      </c>
      <c r="W75" s="7">
        <f>IF($B$75=0,0,IF($B$75=1,Результат!AH17+Результат!AH18,IF(Результат!AH17+Результат!AH18&lt;&gt;0,$B$75,0)))</f>
        <v>177000</v>
      </c>
      <c r="X75" s="7">
        <f>IF($B$75=0,0,IF($B$75=1,Результат!AI17+Результат!AI18,IF(Результат!AI17+Результат!AI18&lt;&gt;0,$B$75,0)))</f>
        <v>177000</v>
      </c>
      <c r="Y75" s="7">
        <f>IF($B$75=0,0,IF($B$75=1,Результат!AJ17+Результат!AJ18,IF(Результат!AJ17+Результат!AJ18&lt;&gt;0,$B$75,0)))</f>
        <v>177000</v>
      </c>
      <c r="Z75" s="7">
        <f>IF($B$75=0,0,IF($B$75=1,Результат!AK17+Результат!AK18,IF(Результат!AK17+Результат!AK18&lt;&gt;0,$B$75,0)))</f>
        <v>177000</v>
      </c>
      <c r="AA75" s="7">
        <f>IF($B$75=0,0,IF($B$75=1,Результат!AL17+Результат!AL18,IF(Результат!AL17+Результат!AL18&lt;&gt;0,$B$75,0)))</f>
        <v>177000</v>
      </c>
      <c r="AB75" s="7">
        <f>IF($B$75=0,0,IF($B$75=1,Результат!AM17+Результат!AM18,IF(Результат!AM17+Результат!AM18&lt;&gt;0,$B$75,0)))</f>
        <v>133333.33333333334</v>
      </c>
      <c r="AC75" s="7">
        <f>IF($B$75=0,0,IF($B$75=1,Результат!AN17+Результат!AN18,IF(Результат!AN17+Результат!AN18&lt;&gt;0,$B$75,0)))</f>
        <v>133333.33333333334</v>
      </c>
      <c r="AD75" s="7">
        <f>IF($B$75=0,0,IF($B$75=1,Результат!AO17+Результат!AO18,IF(Результат!AO17+Результат!AO18&lt;&gt;0,$B$75,0)))</f>
        <v>133333.33333333334</v>
      </c>
      <c r="AE75" s="7">
        <f>IF($B$75=0,0,IF($B$75=1,Результат!F17+Результат!F18,IF(Результат!F17+Результат!F18&lt;&gt;0,$B$75,0)))</f>
        <v>1969000.0000000002</v>
      </c>
      <c r="AF75" s="7">
        <f>IF($B$75=0,0,IF($B$75=1,Результат!AQ17+Результат!AQ18,IF(Результат!AQ17+Результат!AQ18&lt;&gt;0,$B$75,0)))</f>
        <v>169000</v>
      </c>
      <c r="AG75" s="7">
        <f>IF($B$75=0,0,IF($B$75=1,Результат!AR17+Результат!AR18,IF(Результат!AR17+Результат!AR18&lt;&gt;0,$B$75,0)))</f>
        <v>169000</v>
      </c>
      <c r="AH75" s="7">
        <f>IF($B$75=0,0,IF($B$75=1,Результат!AS17+Результат!AS18,IF(Результат!AS17+Результат!AS18&lt;&gt;0,$B$75,0)))</f>
        <v>169000</v>
      </c>
      <c r="AI75" s="7">
        <f>IF($B$75=0,0,IF($B$75=1,Результат!AT17+Результат!AT18,IF(Результат!AT17+Результат!AT18&lt;&gt;0,$B$75,0)))</f>
        <v>177000</v>
      </c>
      <c r="AJ75" s="7">
        <f>IF($B$75=0,0,IF($B$75=1,Результат!AU17+Результат!AU18,IF(Результат!AU17+Результат!AU18&lt;&gt;0,$B$75,0)))</f>
        <v>177000</v>
      </c>
      <c r="AK75" s="7">
        <f>IF($B$75=0,0,IF($B$75=1,Результат!AV17+Результат!AV18,IF(Результат!AV17+Результат!AV18&lt;&gt;0,$B$75,0)))</f>
        <v>177000</v>
      </c>
      <c r="AL75" s="7">
        <f>IF($B$75=0,0,IF($B$75=1,Результат!AW17+Результат!AW18,IF(Результат!AW17+Результат!AW18&lt;&gt;0,$B$75,0)))</f>
        <v>177000</v>
      </c>
      <c r="AM75" s="7">
        <f>IF($B$75=0,0,IF($B$75=1,Результат!AX17+Результат!AX18,IF(Результат!AX17+Результат!AX18&lt;&gt;0,$B$75,0)))</f>
        <v>177000</v>
      </c>
      <c r="AN75" s="7">
        <f>IF($B$75=0,0,IF($B$75=1,Результат!AY17+Результат!AY18,IF(Результат!AY17+Результат!AY18&lt;&gt;0,$B$75,0)))</f>
        <v>177000</v>
      </c>
      <c r="AO75" s="7">
        <f>IF($B$75=0,0,IF($B$75=1,Результат!AZ17+Результат!AZ18,IF(Результат!AZ17+Результат!AZ18&lt;&gt;0,$B$75,0)))</f>
        <v>133333.33333333334</v>
      </c>
      <c r="AP75" s="7">
        <f>IF($B$75=0,0,IF($B$75=1,Результат!BA17+Результат!BA18,IF(Результат!BA17+Результат!BA18&lt;&gt;0,$B$75,0)))</f>
        <v>133333.33333333334</v>
      </c>
      <c r="AQ75" s="7">
        <f>IF($B$75=0,0,IF($B$75=1,Результат!BB17+Результат!BB18,IF(Результат!BB17+Результат!BB18&lt;&gt;0,$B$75,0)))</f>
        <v>133333.33333333334</v>
      </c>
    </row>
    <row r="76" spans="1:43" x14ac:dyDescent="0.25">
      <c r="A76" s="131" t="s">
        <v>120</v>
      </c>
      <c r="B76" s="7">
        <v>13</v>
      </c>
      <c r="F76" s="7">
        <f t="shared" ref="F76:U80" si="8">F$75*$B76/100</f>
        <v>21970</v>
      </c>
      <c r="G76" s="7">
        <f t="shared" si="8"/>
        <v>21970</v>
      </c>
      <c r="H76" s="7">
        <f t="shared" si="8"/>
        <v>21970</v>
      </c>
      <c r="I76" s="7">
        <f t="shared" si="8"/>
        <v>20955.674999999999</v>
      </c>
      <c r="J76" s="7">
        <f t="shared" si="8"/>
        <v>19823.7</v>
      </c>
      <c r="K76" s="7">
        <f t="shared" si="8"/>
        <v>20955.674999999999</v>
      </c>
      <c r="L76" s="7">
        <f t="shared" si="8"/>
        <v>20955.674999999999</v>
      </c>
      <c r="M76" s="7">
        <f t="shared" si="8"/>
        <v>20955.674999999999</v>
      </c>
      <c r="N76" s="7">
        <f t="shared" si="8"/>
        <v>19823.7</v>
      </c>
      <c r="O76" s="7">
        <f t="shared" si="8"/>
        <v>17333.333333333336</v>
      </c>
      <c r="P76" s="7">
        <f t="shared" si="8"/>
        <v>17333.333333333336</v>
      </c>
      <c r="Q76" s="7">
        <f t="shared" si="8"/>
        <v>17333.333333333336</v>
      </c>
      <c r="R76" s="7">
        <f t="shared" si="8"/>
        <v>255970.00000000003</v>
      </c>
      <c r="S76" s="7">
        <f t="shared" si="8"/>
        <v>21970</v>
      </c>
      <c r="T76" s="7">
        <f t="shared" si="8"/>
        <v>21970</v>
      </c>
      <c r="U76" s="7">
        <f t="shared" si="8"/>
        <v>21970</v>
      </c>
      <c r="V76" s="7">
        <f t="shared" ref="V76:AK80" si="9">V$75*$B76/100</f>
        <v>23010</v>
      </c>
      <c r="W76" s="7">
        <f t="shared" si="9"/>
        <v>23010</v>
      </c>
      <c r="X76" s="7">
        <f t="shared" si="9"/>
        <v>23010</v>
      </c>
      <c r="Y76" s="7">
        <f t="shared" si="9"/>
        <v>23010</v>
      </c>
      <c r="Z76" s="7">
        <f t="shared" si="9"/>
        <v>23010</v>
      </c>
      <c r="AA76" s="7">
        <f t="shared" si="9"/>
        <v>23010</v>
      </c>
      <c r="AB76" s="7">
        <f t="shared" si="9"/>
        <v>17333.333333333336</v>
      </c>
      <c r="AC76" s="7">
        <f t="shared" si="9"/>
        <v>17333.333333333336</v>
      </c>
      <c r="AD76" s="7">
        <f t="shared" si="9"/>
        <v>17333.333333333336</v>
      </c>
      <c r="AE76" s="7">
        <f t="shared" si="9"/>
        <v>255970.00000000003</v>
      </c>
      <c r="AF76" s="7">
        <f t="shared" si="9"/>
        <v>21970</v>
      </c>
      <c r="AG76" s="7">
        <f t="shared" si="9"/>
        <v>21970</v>
      </c>
      <c r="AH76" s="7">
        <f t="shared" si="9"/>
        <v>21970</v>
      </c>
      <c r="AI76" s="7">
        <f t="shared" si="9"/>
        <v>23010</v>
      </c>
      <c r="AJ76" s="7">
        <f t="shared" si="9"/>
        <v>23010</v>
      </c>
      <c r="AK76" s="7">
        <f t="shared" si="9"/>
        <v>23010</v>
      </c>
      <c r="AL76" s="7">
        <f t="shared" ref="AL76:AQ80" si="10">AL$75*$B76/100</f>
        <v>23010</v>
      </c>
      <c r="AM76" s="7">
        <f t="shared" si="10"/>
        <v>23010</v>
      </c>
      <c r="AN76" s="7">
        <f t="shared" si="10"/>
        <v>23010</v>
      </c>
      <c r="AO76" s="7">
        <f t="shared" si="10"/>
        <v>17333.333333333336</v>
      </c>
      <c r="AP76" s="7">
        <f t="shared" si="10"/>
        <v>17333.333333333336</v>
      </c>
      <c r="AQ76" s="7">
        <f t="shared" si="10"/>
        <v>17333.333333333336</v>
      </c>
    </row>
    <row r="77" spans="1:43" x14ac:dyDescent="0.25">
      <c r="A77" s="131" t="s">
        <v>121</v>
      </c>
      <c r="B77" s="7">
        <v>22</v>
      </c>
      <c r="F77" s="7">
        <f t="shared" si="8"/>
        <v>37180</v>
      </c>
      <c r="G77" s="7">
        <f t="shared" si="8"/>
        <v>37180</v>
      </c>
      <c r="H77" s="7">
        <f t="shared" si="8"/>
        <v>37180</v>
      </c>
      <c r="I77" s="7">
        <f t="shared" si="8"/>
        <v>35463.449999999997</v>
      </c>
      <c r="J77" s="7">
        <f t="shared" si="8"/>
        <v>33547.800000000003</v>
      </c>
      <c r="K77" s="7">
        <f t="shared" si="8"/>
        <v>35463.449999999997</v>
      </c>
      <c r="L77" s="7">
        <f t="shared" si="8"/>
        <v>35463.449999999997</v>
      </c>
      <c r="M77" s="7">
        <f t="shared" si="8"/>
        <v>35463.449999999997</v>
      </c>
      <c r="N77" s="7">
        <f t="shared" si="8"/>
        <v>33547.800000000003</v>
      </c>
      <c r="O77" s="7">
        <f t="shared" si="8"/>
        <v>29333.333333333336</v>
      </c>
      <c r="P77" s="7">
        <f t="shared" si="8"/>
        <v>29333.333333333336</v>
      </c>
      <c r="Q77" s="7">
        <f t="shared" si="8"/>
        <v>29333.333333333336</v>
      </c>
      <c r="R77" s="7">
        <f t="shared" si="8"/>
        <v>433180.00000000006</v>
      </c>
      <c r="S77" s="7">
        <f t="shared" si="8"/>
        <v>37180</v>
      </c>
      <c r="T77" s="7">
        <f t="shared" si="8"/>
        <v>37180</v>
      </c>
      <c r="U77" s="7">
        <f t="shared" si="8"/>
        <v>37180</v>
      </c>
      <c r="V77" s="7">
        <f t="shared" si="9"/>
        <v>38940</v>
      </c>
      <c r="W77" s="7">
        <f t="shared" si="9"/>
        <v>38940</v>
      </c>
      <c r="X77" s="7">
        <f t="shared" si="9"/>
        <v>38940</v>
      </c>
      <c r="Y77" s="7">
        <f t="shared" si="9"/>
        <v>38940</v>
      </c>
      <c r="Z77" s="7">
        <f t="shared" si="9"/>
        <v>38940</v>
      </c>
      <c r="AA77" s="7">
        <f t="shared" si="9"/>
        <v>38940</v>
      </c>
      <c r="AB77" s="7">
        <f t="shared" si="9"/>
        <v>29333.333333333336</v>
      </c>
      <c r="AC77" s="7">
        <f t="shared" si="9"/>
        <v>29333.333333333336</v>
      </c>
      <c r="AD77" s="7">
        <f t="shared" si="9"/>
        <v>29333.333333333336</v>
      </c>
      <c r="AE77" s="7">
        <f t="shared" si="9"/>
        <v>433180.00000000006</v>
      </c>
      <c r="AF77" s="7">
        <f t="shared" si="9"/>
        <v>37180</v>
      </c>
      <c r="AG77" s="7">
        <f t="shared" si="9"/>
        <v>37180</v>
      </c>
      <c r="AH77" s="7">
        <f t="shared" si="9"/>
        <v>37180</v>
      </c>
      <c r="AI77" s="7">
        <f t="shared" si="9"/>
        <v>38940</v>
      </c>
      <c r="AJ77" s="7">
        <f t="shared" si="9"/>
        <v>38940</v>
      </c>
      <c r="AK77" s="7">
        <f t="shared" si="9"/>
        <v>38940</v>
      </c>
      <c r="AL77" s="7">
        <f t="shared" si="10"/>
        <v>38940</v>
      </c>
      <c r="AM77" s="7">
        <f t="shared" si="10"/>
        <v>38940</v>
      </c>
      <c r="AN77" s="7">
        <f t="shared" si="10"/>
        <v>38940</v>
      </c>
      <c r="AO77" s="7">
        <f t="shared" si="10"/>
        <v>29333.333333333336</v>
      </c>
      <c r="AP77" s="7">
        <f t="shared" si="10"/>
        <v>29333.333333333336</v>
      </c>
      <c r="AQ77" s="7">
        <f t="shared" si="10"/>
        <v>29333.333333333336</v>
      </c>
    </row>
    <row r="78" spans="1:43" x14ac:dyDescent="0.25">
      <c r="A78" s="131" t="s">
        <v>122</v>
      </c>
      <c r="B78" s="7">
        <v>5.0999999999999996</v>
      </c>
      <c r="F78" s="7">
        <f t="shared" si="8"/>
        <v>8618.9999999999982</v>
      </c>
      <c r="G78" s="7">
        <f t="shared" si="8"/>
        <v>8618.9999999999982</v>
      </c>
      <c r="H78" s="7">
        <f t="shared" si="8"/>
        <v>8618.9999999999982</v>
      </c>
      <c r="I78" s="7">
        <f t="shared" si="8"/>
        <v>8221.0725000000002</v>
      </c>
      <c r="J78" s="7">
        <f t="shared" si="8"/>
        <v>7776.99</v>
      </c>
      <c r="K78" s="7">
        <f t="shared" si="8"/>
        <v>8221.0725000000002</v>
      </c>
      <c r="L78" s="7">
        <f t="shared" si="8"/>
        <v>8221.0725000000002</v>
      </c>
      <c r="M78" s="7">
        <f t="shared" si="8"/>
        <v>8221.0725000000002</v>
      </c>
      <c r="N78" s="7">
        <f t="shared" si="8"/>
        <v>7776.99</v>
      </c>
      <c r="O78" s="7">
        <f t="shared" si="8"/>
        <v>6800</v>
      </c>
      <c r="P78" s="7">
        <f t="shared" si="8"/>
        <v>6800</v>
      </c>
      <c r="Q78" s="7">
        <f t="shared" si="8"/>
        <v>6800</v>
      </c>
      <c r="R78" s="7">
        <f t="shared" si="8"/>
        <v>100419</v>
      </c>
      <c r="S78" s="7">
        <f t="shared" si="8"/>
        <v>8618.9999999999982</v>
      </c>
      <c r="T78" s="7">
        <f t="shared" si="8"/>
        <v>8618.9999999999982</v>
      </c>
      <c r="U78" s="7">
        <f t="shared" si="8"/>
        <v>8618.9999999999982</v>
      </c>
      <c r="V78" s="7">
        <f t="shared" si="9"/>
        <v>9026.9999999999982</v>
      </c>
      <c r="W78" s="7">
        <f t="shared" si="9"/>
        <v>9026.9999999999982</v>
      </c>
      <c r="X78" s="7">
        <f t="shared" si="9"/>
        <v>9026.9999999999982</v>
      </c>
      <c r="Y78" s="7">
        <f t="shared" si="9"/>
        <v>9026.9999999999982</v>
      </c>
      <c r="Z78" s="7">
        <f t="shared" si="9"/>
        <v>9026.9999999999982</v>
      </c>
      <c r="AA78" s="7">
        <f t="shared" si="9"/>
        <v>9026.9999999999982</v>
      </c>
      <c r="AB78" s="7">
        <f t="shared" si="9"/>
        <v>6800</v>
      </c>
      <c r="AC78" s="7">
        <f t="shared" si="9"/>
        <v>6800</v>
      </c>
      <c r="AD78" s="7">
        <f t="shared" si="9"/>
        <v>6800</v>
      </c>
      <c r="AE78" s="7">
        <f t="shared" si="9"/>
        <v>100419</v>
      </c>
      <c r="AF78" s="7">
        <f t="shared" si="9"/>
        <v>8618.9999999999982</v>
      </c>
      <c r="AG78" s="7">
        <f t="shared" si="9"/>
        <v>8618.9999999999982</v>
      </c>
      <c r="AH78" s="7">
        <f t="shared" si="9"/>
        <v>8618.9999999999982</v>
      </c>
      <c r="AI78" s="7">
        <f t="shared" si="9"/>
        <v>9026.9999999999982</v>
      </c>
      <c r="AJ78" s="7">
        <f t="shared" si="9"/>
        <v>9026.9999999999982</v>
      </c>
      <c r="AK78" s="7">
        <f t="shared" si="9"/>
        <v>9026.9999999999982</v>
      </c>
      <c r="AL78" s="7">
        <f t="shared" si="10"/>
        <v>9026.9999999999982</v>
      </c>
      <c r="AM78" s="7">
        <f t="shared" si="10"/>
        <v>9026.9999999999982</v>
      </c>
      <c r="AN78" s="7">
        <f t="shared" si="10"/>
        <v>9026.9999999999982</v>
      </c>
      <c r="AO78" s="7">
        <f t="shared" si="10"/>
        <v>6800</v>
      </c>
      <c r="AP78" s="7">
        <f t="shared" si="10"/>
        <v>6800</v>
      </c>
      <c r="AQ78" s="7">
        <f t="shared" si="10"/>
        <v>6800</v>
      </c>
    </row>
    <row r="79" spans="1:43" x14ac:dyDescent="0.25">
      <c r="A79" s="131" t="s">
        <v>123</v>
      </c>
      <c r="B79" s="7">
        <v>2.9</v>
      </c>
      <c r="F79" s="7">
        <f t="shared" si="8"/>
        <v>4901</v>
      </c>
      <c r="G79" s="7">
        <f t="shared" si="8"/>
        <v>4901</v>
      </c>
      <c r="H79" s="7">
        <f t="shared" si="8"/>
        <v>4901</v>
      </c>
      <c r="I79" s="7">
        <f t="shared" si="8"/>
        <v>4674.7275</v>
      </c>
      <c r="J79" s="7">
        <f t="shared" si="8"/>
        <v>4422.21</v>
      </c>
      <c r="K79" s="7">
        <f t="shared" si="8"/>
        <v>4674.7275</v>
      </c>
      <c r="L79" s="7">
        <f t="shared" si="8"/>
        <v>4674.7275</v>
      </c>
      <c r="M79" s="7">
        <f t="shared" si="8"/>
        <v>4674.7275</v>
      </c>
      <c r="N79" s="7">
        <f t="shared" si="8"/>
        <v>4422.21</v>
      </c>
      <c r="O79" s="7">
        <f t="shared" si="8"/>
        <v>3866.666666666667</v>
      </c>
      <c r="P79" s="7">
        <f t="shared" si="8"/>
        <v>3866.666666666667</v>
      </c>
      <c r="Q79" s="7">
        <f t="shared" si="8"/>
        <v>3866.666666666667</v>
      </c>
      <c r="R79" s="7">
        <f t="shared" si="8"/>
        <v>57101.000000000007</v>
      </c>
      <c r="S79" s="7">
        <f t="shared" si="8"/>
        <v>4901</v>
      </c>
      <c r="T79" s="7">
        <f t="shared" si="8"/>
        <v>4901</v>
      </c>
      <c r="U79" s="7">
        <f t="shared" si="8"/>
        <v>4901</v>
      </c>
      <c r="V79" s="7">
        <f t="shared" si="9"/>
        <v>5133</v>
      </c>
      <c r="W79" s="7">
        <f t="shared" si="9"/>
        <v>5133</v>
      </c>
      <c r="X79" s="7">
        <f t="shared" si="9"/>
        <v>5133</v>
      </c>
      <c r="Y79" s="7">
        <f t="shared" si="9"/>
        <v>5133</v>
      </c>
      <c r="Z79" s="7">
        <f t="shared" si="9"/>
        <v>5133</v>
      </c>
      <c r="AA79" s="7">
        <f t="shared" si="9"/>
        <v>5133</v>
      </c>
      <c r="AB79" s="7">
        <f t="shared" si="9"/>
        <v>3866.666666666667</v>
      </c>
      <c r="AC79" s="7">
        <f t="shared" si="9"/>
        <v>3866.666666666667</v>
      </c>
      <c r="AD79" s="7">
        <f t="shared" si="9"/>
        <v>3866.666666666667</v>
      </c>
      <c r="AE79" s="7">
        <f t="shared" si="9"/>
        <v>57101.000000000007</v>
      </c>
      <c r="AF79" s="7">
        <f t="shared" si="9"/>
        <v>4901</v>
      </c>
      <c r="AG79" s="7">
        <f t="shared" si="9"/>
        <v>4901</v>
      </c>
      <c r="AH79" s="7">
        <f t="shared" si="9"/>
        <v>4901</v>
      </c>
      <c r="AI79" s="7">
        <f t="shared" si="9"/>
        <v>5133</v>
      </c>
      <c r="AJ79" s="7">
        <f t="shared" si="9"/>
        <v>5133</v>
      </c>
      <c r="AK79" s="7">
        <f t="shared" si="9"/>
        <v>5133</v>
      </c>
      <c r="AL79" s="7">
        <f t="shared" si="10"/>
        <v>5133</v>
      </c>
      <c r="AM79" s="7">
        <f t="shared" si="10"/>
        <v>5133</v>
      </c>
      <c r="AN79" s="7">
        <f t="shared" si="10"/>
        <v>5133</v>
      </c>
      <c r="AO79" s="7">
        <f t="shared" si="10"/>
        <v>3866.666666666667</v>
      </c>
      <c r="AP79" s="7">
        <f t="shared" si="10"/>
        <v>3866.666666666667</v>
      </c>
      <c r="AQ79" s="7">
        <f t="shared" si="10"/>
        <v>3866.666666666667</v>
      </c>
    </row>
    <row r="80" spans="1:43" x14ac:dyDescent="0.25">
      <c r="A80" s="131" t="s">
        <v>124</v>
      </c>
      <c r="B80" s="7">
        <v>0.2</v>
      </c>
      <c r="F80" s="7">
        <f t="shared" si="8"/>
        <v>338</v>
      </c>
      <c r="G80" s="7">
        <f t="shared" si="8"/>
        <v>338</v>
      </c>
      <c r="H80" s="7">
        <f t="shared" si="8"/>
        <v>338</v>
      </c>
      <c r="I80" s="7">
        <f t="shared" si="8"/>
        <v>322.39499999999998</v>
      </c>
      <c r="J80" s="7">
        <f t="shared" si="8"/>
        <v>304.98</v>
      </c>
      <c r="K80" s="7">
        <f t="shared" si="8"/>
        <v>322.39499999999998</v>
      </c>
      <c r="L80" s="7">
        <f t="shared" si="8"/>
        <v>322.39499999999998</v>
      </c>
      <c r="M80" s="7">
        <f t="shared" si="8"/>
        <v>322.39499999999998</v>
      </c>
      <c r="N80" s="7">
        <f t="shared" si="8"/>
        <v>304.98</v>
      </c>
      <c r="O80" s="7">
        <f t="shared" si="8"/>
        <v>266.66666666666674</v>
      </c>
      <c r="P80" s="7">
        <f t="shared" si="8"/>
        <v>266.66666666666674</v>
      </c>
      <c r="Q80" s="7">
        <f t="shared" si="8"/>
        <v>266.66666666666674</v>
      </c>
      <c r="R80" s="7">
        <f t="shared" si="8"/>
        <v>3938.0000000000005</v>
      </c>
      <c r="S80" s="7">
        <f t="shared" si="8"/>
        <v>338</v>
      </c>
      <c r="T80" s="7">
        <f t="shared" si="8"/>
        <v>338</v>
      </c>
      <c r="U80" s="7">
        <f t="shared" si="8"/>
        <v>338</v>
      </c>
      <c r="V80" s="7">
        <f t="shared" si="9"/>
        <v>354</v>
      </c>
      <c r="W80" s="7">
        <f t="shared" si="9"/>
        <v>354</v>
      </c>
      <c r="X80" s="7">
        <f t="shared" si="9"/>
        <v>354</v>
      </c>
      <c r="Y80" s="7">
        <f t="shared" si="9"/>
        <v>354</v>
      </c>
      <c r="Z80" s="7">
        <f t="shared" si="9"/>
        <v>354</v>
      </c>
      <c r="AA80" s="7">
        <f t="shared" si="9"/>
        <v>354</v>
      </c>
      <c r="AB80" s="7">
        <f t="shared" si="9"/>
        <v>266.66666666666674</v>
      </c>
      <c r="AC80" s="7">
        <f t="shared" si="9"/>
        <v>266.66666666666674</v>
      </c>
      <c r="AD80" s="7">
        <f t="shared" si="9"/>
        <v>266.66666666666674</v>
      </c>
      <c r="AE80" s="7">
        <f t="shared" si="9"/>
        <v>3938.0000000000005</v>
      </c>
      <c r="AF80" s="7">
        <f t="shared" si="9"/>
        <v>338</v>
      </c>
      <c r="AG80" s="7">
        <f t="shared" si="9"/>
        <v>338</v>
      </c>
      <c r="AH80" s="7">
        <f t="shared" si="9"/>
        <v>338</v>
      </c>
      <c r="AI80" s="7">
        <f t="shared" si="9"/>
        <v>354</v>
      </c>
      <c r="AJ80" s="7">
        <f t="shared" si="9"/>
        <v>354</v>
      </c>
      <c r="AK80" s="7">
        <f t="shared" si="9"/>
        <v>354</v>
      </c>
      <c r="AL80" s="7">
        <f t="shared" si="10"/>
        <v>354</v>
      </c>
      <c r="AM80" s="7">
        <f t="shared" si="10"/>
        <v>354</v>
      </c>
      <c r="AN80" s="7">
        <f t="shared" si="10"/>
        <v>354</v>
      </c>
      <c r="AO80" s="7">
        <f t="shared" si="10"/>
        <v>266.66666666666674</v>
      </c>
      <c r="AP80" s="7">
        <f t="shared" si="10"/>
        <v>266.66666666666674</v>
      </c>
      <c r="AQ80" s="7">
        <f t="shared" si="10"/>
        <v>266.66666666666674</v>
      </c>
    </row>
    <row r="81" spans="1:43" x14ac:dyDescent="0.25">
      <c r="A81" s="110" t="s">
        <v>125</v>
      </c>
      <c r="F81" s="7">
        <f t="shared" ref="F81:AQ81" si="11">SUBTOTAL(9,F76:F80)</f>
        <v>73008</v>
      </c>
      <c r="G81" s="7">
        <f t="shared" si="11"/>
        <v>73008</v>
      </c>
      <c r="H81" s="7">
        <f t="shared" si="11"/>
        <v>73008</v>
      </c>
      <c r="I81" s="7">
        <f t="shared" si="11"/>
        <v>69637.320000000007</v>
      </c>
      <c r="J81" s="7">
        <f t="shared" si="11"/>
        <v>65875.679999999993</v>
      </c>
      <c r="K81" s="7">
        <f t="shared" si="11"/>
        <v>69637.320000000007</v>
      </c>
      <c r="L81" s="7">
        <f t="shared" si="11"/>
        <v>69637.320000000007</v>
      </c>
      <c r="M81" s="7">
        <f t="shared" si="11"/>
        <v>69637.320000000007</v>
      </c>
      <c r="N81" s="7">
        <f t="shared" si="11"/>
        <v>65875.679999999993</v>
      </c>
      <c r="O81" s="7">
        <f t="shared" si="11"/>
        <v>57600</v>
      </c>
      <c r="P81" s="7">
        <f t="shared" si="11"/>
        <v>57600</v>
      </c>
      <c r="Q81" s="7">
        <f t="shared" si="11"/>
        <v>57600</v>
      </c>
      <c r="R81" s="7">
        <f t="shared" si="11"/>
        <v>850608.00000000012</v>
      </c>
      <c r="S81" s="7">
        <f t="shared" si="11"/>
        <v>73008</v>
      </c>
      <c r="T81" s="7">
        <f t="shared" si="11"/>
        <v>73008</v>
      </c>
      <c r="U81" s="7">
        <f t="shared" si="11"/>
        <v>73008</v>
      </c>
      <c r="V81" s="7">
        <f t="shared" si="11"/>
        <v>76464</v>
      </c>
      <c r="W81" s="7">
        <f t="shared" si="11"/>
        <v>76464</v>
      </c>
      <c r="X81" s="7">
        <f t="shared" si="11"/>
        <v>76464</v>
      </c>
      <c r="Y81" s="7">
        <f t="shared" si="11"/>
        <v>76464</v>
      </c>
      <c r="Z81" s="7">
        <f t="shared" si="11"/>
        <v>76464</v>
      </c>
      <c r="AA81" s="7">
        <f t="shared" si="11"/>
        <v>76464</v>
      </c>
      <c r="AB81" s="7">
        <f t="shared" si="11"/>
        <v>57600</v>
      </c>
      <c r="AC81" s="7">
        <f t="shared" si="11"/>
        <v>57600</v>
      </c>
      <c r="AD81" s="7">
        <f t="shared" si="11"/>
        <v>57600</v>
      </c>
      <c r="AE81" s="7">
        <f t="shared" si="11"/>
        <v>850608.00000000012</v>
      </c>
      <c r="AF81" s="7">
        <f t="shared" si="11"/>
        <v>73008</v>
      </c>
      <c r="AG81" s="7">
        <f t="shared" si="11"/>
        <v>73008</v>
      </c>
      <c r="AH81" s="7">
        <f t="shared" si="11"/>
        <v>73008</v>
      </c>
      <c r="AI81" s="7">
        <f t="shared" si="11"/>
        <v>76464</v>
      </c>
      <c r="AJ81" s="7">
        <f t="shared" si="11"/>
        <v>76464</v>
      </c>
      <c r="AK81" s="7">
        <f t="shared" si="11"/>
        <v>76464</v>
      </c>
      <c r="AL81" s="7">
        <f t="shared" si="11"/>
        <v>76464</v>
      </c>
      <c r="AM81" s="7">
        <f t="shared" si="11"/>
        <v>76464</v>
      </c>
      <c r="AN81" s="7">
        <f t="shared" si="11"/>
        <v>76464</v>
      </c>
      <c r="AO81" s="7">
        <f t="shared" si="11"/>
        <v>57600</v>
      </c>
      <c r="AP81" s="7">
        <f t="shared" si="11"/>
        <v>57600</v>
      </c>
      <c r="AQ81" s="7">
        <f t="shared" si="11"/>
        <v>57600</v>
      </c>
    </row>
    <row r="86" spans="1:43" x14ac:dyDescent="0.25">
      <c r="A86" s="110" t="s">
        <v>56</v>
      </c>
      <c r="C86" s="105"/>
      <c r="D86" s="105">
        <f>SUM(E86:AQ86)/3</f>
        <v>6</v>
      </c>
      <c r="E86" s="105"/>
      <c r="F86" s="105"/>
      <c r="G86" s="105"/>
      <c r="H86" s="105"/>
      <c r="I86" s="105">
        <v>1</v>
      </c>
      <c r="J86" s="105">
        <v>1</v>
      </c>
      <c r="K86" s="105">
        <v>1</v>
      </c>
      <c r="L86" s="105">
        <v>1</v>
      </c>
      <c r="M86" s="105">
        <v>1</v>
      </c>
      <c r="N86" s="105">
        <v>1</v>
      </c>
      <c r="O86" s="105"/>
      <c r="P86" s="105"/>
      <c r="Q86" s="105"/>
      <c r="R86" s="105"/>
      <c r="S86" s="105"/>
      <c r="T86" s="105"/>
      <c r="U86" s="105"/>
      <c r="V86" s="105">
        <v>1</v>
      </c>
      <c r="W86" s="105">
        <v>1</v>
      </c>
      <c r="X86" s="105">
        <v>1</v>
      </c>
      <c r="Y86" s="105">
        <v>1</v>
      </c>
      <c r="Z86" s="105">
        <v>1</v>
      </c>
      <c r="AA86" s="105">
        <v>1</v>
      </c>
      <c r="AB86" s="105"/>
      <c r="AC86" s="105"/>
      <c r="AD86" s="105"/>
      <c r="AE86" s="105"/>
      <c r="AF86" s="105"/>
      <c r="AG86" s="105"/>
      <c r="AH86" s="105"/>
      <c r="AI86" s="105">
        <v>1</v>
      </c>
      <c r="AJ86" s="105">
        <v>1</v>
      </c>
      <c r="AK86" s="105">
        <v>1</v>
      </c>
      <c r="AL86" s="105">
        <v>1</v>
      </c>
      <c r="AM86" s="105">
        <v>1</v>
      </c>
      <c r="AN86" s="105">
        <v>1</v>
      </c>
    </row>
    <row r="87" spans="1:43" x14ac:dyDescent="0.25">
      <c r="A87" s="81" t="s">
        <v>66</v>
      </c>
      <c r="B87" s="7" t="s">
        <v>150</v>
      </c>
      <c r="C87" s="105">
        <f>IF('Дополнительные услуги'!B6="",'Дополнительные услуги'!BD8*'Дополнительные услуги'!BD9*'Дополнительные услуги'!BD10,0)</f>
        <v>288000</v>
      </c>
      <c r="D87" s="105"/>
      <c r="E87" s="105">
        <f t="shared" ref="E87:AQ87" si="12">IF(AND($E$17-COLUMN()+5&lt;=0,E$86=1),$C$87/$D$86,0)</f>
        <v>0</v>
      </c>
      <c r="F87" s="105">
        <f t="shared" si="12"/>
        <v>0</v>
      </c>
      <c r="G87" s="105">
        <f t="shared" si="12"/>
        <v>0</v>
      </c>
      <c r="H87" s="105">
        <f t="shared" si="12"/>
        <v>0</v>
      </c>
      <c r="I87" s="105">
        <f t="shared" si="12"/>
        <v>48000</v>
      </c>
      <c r="J87" s="105">
        <f t="shared" si="12"/>
        <v>48000</v>
      </c>
      <c r="K87" s="105">
        <f t="shared" si="12"/>
        <v>48000</v>
      </c>
      <c r="L87" s="105">
        <f t="shared" si="12"/>
        <v>48000</v>
      </c>
      <c r="M87" s="105">
        <f t="shared" si="12"/>
        <v>48000</v>
      </c>
      <c r="N87" s="105">
        <f t="shared" si="12"/>
        <v>48000</v>
      </c>
      <c r="O87" s="105">
        <f t="shared" si="12"/>
        <v>0</v>
      </c>
      <c r="P87" s="105">
        <f t="shared" si="12"/>
        <v>0</v>
      </c>
      <c r="Q87" s="105">
        <f t="shared" si="12"/>
        <v>0</v>
      </c>
      <c r="R87" s="105">
        <f t="shared" si="12"/>
        <v>0</v>
      </c>
      <c r="S87" s="105">
        <f t="shared" si="12"/>
        <v>0</v>
      </c>
      <c r="T87" s="105">
        <f t="shared" si="12"/>
        <v>0</v>
      </c>
      <c r="U87" s="105">
        <f t="shared" si="12"/>
        <v>0</v>
      </c>
      <c r="V87" s="105">
        <f t="shared" si="12"/>
        <v>48000</v>
      </c>
      <c r="W87" s="105">
        <f t="shared" si="12"/>
        <v>48000</v>
      </c>
      <c r="X87" s="105">
        <f t="shared" si="12"/>
        <v>48000</v>
      </c>
      <c r="Y87" s="105">
        <f t="shared" si="12"/>
        <v>48000</v>
      </c>
      <c r="Z87" s="105">
        <f t="shared" si="12"/>
        <v>48000</v>
      </c>
      <c r="AA87" s="105">
        <f t="shared" si="12"/>
        <v>48000</v>
      </c>
      <c r="AB87" s="105">
        <f t="shared" si="12"/>
        <v>0</v>
      </c>
      <c r="AC87" s="105">
        <f t="shared" si="12"/>
        <v>0</v>
      </c>
      <c r="AD87" s="105">
        <f t="shared" si="12"/>
        <v>0</v>
      </c>
      <c r="AE87" s="105">
        <f t="shared" si="12"/>
        <v>0</v>
      </c>
      <c r="AF87" s="105">
        <f t="shared" si="12"/>
        <v>0</v>
      </c>
      <c r="AG87" s="105">
        <f t="shared" si="12"/>
        <v>0</v>
      </c>
      <c r="AH87" s="105">
        <f t="shared" si="12"/>
        <v>0</v>
      </c>
      <c r="AI87" s="105">
        <f t="shared" si="12"/>
        <v>48000</v>
      </c>
      <c r="AJ87" s="105">
        <f t="shared" si="12"/>
        <v>48000</v>
      </c>
      <c r="AK87" s="105">
        <f t="shared" si="12"/>
        <v>48000</v>
      </c>
      <c r="AL87" s="105">
        <f t="shared" si="12"/>
        <v>48000</v>
      </c>
      <c r="AM87" s="105">
        <f t="shared" si="12"/>
        <v>48000</v>
      </c>
      <c r="AN87" s="105">
        <f t="shared" si="12"/>
        <v>48000</v>
      </c>
      <c r="AO87" s="7">
        <f t="shared" si="12"/>
        <v>0</v>
      </c>
      <c r="AP87" s="7">
        <f t="shared" si="12"/>
        <v>0</v>
      </c>
      <c r="AQ87" s="7">
        <f t="shared" si="12"/>
        <v>0</v>
      </c>
    </row>
    <row r="88" spans="1:43" x14ac:dyDescent="0.25">
      <c r="A88" s="81" t="s">
        <v>161</v>
      </c>
      <c r="C88" s="105">
        <f>SUM(I88:N88)</f>
        <v>86400</v>
      </c>
      <c r="D88" s="105"/>
      <c r="E88" s="105">
        <f>IF(E$87&gt;0,'Дополнительные услуги'!$BD$11*'Дополнительные услуги'!$BD$8*'Дополнительные услуги'!$BD$10/$D$86,0)</f>
        <v>0</v>
      </c>
      <c r="F88" s="105">
        <f>IF(F$87&gt;0,'Дополнительные услуги'!$BD$11*'Дополнительные услуги'!$BD$8*'Дополнительные услуги'!$BD$10/$D$86,0)</f>
        <v>0</v>
      </c>
      <c r="G88" s="105">
        <f>IF(G$87&gt;0,'Дополнительные услуги'!$BD$11*'Дополнительные услуги'!$BD$8*'Дополнительные услуги'!$BD$10/$D$86,0)</f>
        <v>0</v>
      </c>
      <c r="H88" s="105">
        <f>IF(H$87&gt;0,'Дополнительные услуги'!$BD$11*'Дополнительные услуги'!$BD$8*'Дополнительные услуги'!$BD$10/$D$86,0)</f>
        <v>0</v>
      </c>
      <c r="I88" s="105">
        <f>IF(I$87&gt;0,'Дополнительные услуги'!$BD$11*'Дополнительные услуги'!$BD$8*'Дополнительные услуги'!$BD$10/$D$86,0)</f>
        <v>14400</v>
      </c>
      <c r="J88" s="105">
        <f>IF(J$87&gt;0,'Дополнительные услуги'!$BD$11*'Дополнительные услуги'!$BD$8*'Дополнительные услуги'!$BD$10/$D$86,0)</f>
        <v>14400</v>
      </c>
      <c r="K88" s="105">
        <f>IF(K$87&gt;0,'Дополнительные услуги'!$BD$11*'Дополнительные услуги'!$BD$8*'Дополнительные услуги'!$BD$10/$D$86,0)</f>
        <v>14400</v>
      </c>
      <c r="L88" s="105">
        <f>IF(L$87&gt;0,'Дополнительные услуги'!$BD$11*'Дополнительные услуги'!$BD$8*'Дополнительные услуги'!$BD$10/$D$86,0)</f>
        <v>14400</v>
      </c>
      <c r="M88" s="105">
        <f>IF(M$87&gt;0,'Дополнительные услуги'!$BD$11*'Дополнительные услуги'!$BD$8*'Дополнительные услуги'!$BD$10/$D$86,0)</f>
        <v>14400</v>
      </c>
      <c r="N88" s="105">
        <f>IF(N$87&gt;0,'Дополнительные услуги'!$BD$11*'Дополнительные услуги'!$BD$8*'Дополнительные услуги'!$BD$10/$D$86,0)</f>
        <v>14400</v>
      </c>
      <c r="O88" s="105">
        <f>IF(O$87&gt;0,'Дополнительные услуги'!$BD$11*'Дополнительные услуги'!$BD$8*'Дополнительные услуги'!$BD$10/$D$86,0)</f>
        <v>0</v>
      </c>
      <c r="P88" s="105">
        <f>IF(P$87&gt;0,'Дополнительные услуги'!$BD$11*'Дополнительные услуги'!$BD$8*'Дополнительные услуги'!$BD$10/$D$86,0)</f>
        <v>0</v>
      </c>
      <c r="Q88" s="105">
        <f>IF(Q$87&gt;0,'Дополнительные услуги'!$BD$11*'Дополнительные услуги'!$BD$8*'Дополнительные услуги'!$BD$10/$D$86,0)</f>
        <v>0</v>
      </c>
      <c r="R88" s="105">
        <f>IF(R$87&gt;0,'Дополнительные услуги'!$BD$11*'Дополнительные услуги'!$BD$8*'Дополнительные услуги'!$BD$10/$D$86,0)</f>
        <v>0</v>
      </c>
      <c r="S88" s="105">
        <f>IF(S$87&gt;0,'Дополнительные услуги'!$BD$11*'Дополнительные услуги'!$BD$8*'Дополнительные услуги'!$BD$10/$D$86,0)</f>
        <v>0</v>
      </c>
      <c r="T88" s="105">
        <f>IF(T$87&gt;0,'Дополнительные услуги'!$BD$11*'Дополнительные услуги'!$BD$8*'Дополнительные услуги'!$BD$10/$D$86,0)</f>
        <v>0</v>
      </c>
      <c r="U88" s="105">
        <f>IF(U$87&gt;0,'Дополнительные услуги'!$BD$11*'Дополнительные услуги'!$BD$8*'Дополнительные услуги'!$BD$10/$D$86,0)</f>
        <v>0</v>
      </c>
      <c r="V88" s="105">
        <f>IF(V$87&gt;0,'Дополнительные услуги'!$BD$11*'Дополнительные услуги'!$BD$8*'Дополнительные услуги'!$BD$10/$D$86,0)</f>
        <v>14400</v>
      </c>
      <c r="W88" s="105">
        <f>IF(W$87&gt;0,'Дополнительные услуги'!$BD$11*'Дополнительные услуги'!$BD$8*'Дополнительные услуги'!$BD$10/$D$86,0)</f>
        <v>14400</v>
      </c>
      <c r="X88" s="105">
        <f>IF(X$87&gt;0,'Дополнительные услуги'!$BD$11*'Дополнительные услуги'!$BD$8*'Дополнительные услуги'!$BD$10/$D$86,0)</f>
        <v>14400</v>
      </c>
      <c r="Y88" s="105">
        <f>IF(Y$87&gt;0,'Дополнительные услуги'!$BD$11*'Дополнительные услуги'!$BD$8*'Дополнительные услуги'!$BD$10/$D$86,0)</f>
        <v>14400</v>
      </c>
      <c r="Z88" s="105">
        <f>IF(Z$87&gt;0,'Дополнительные услуги'!$BD$11*'Дополнительные услуги'!$BD$8*'Дополнительные услуги'!$BD$10/$D$86,0)</f>
        <v>14400</v>
      </c>
      <c r="AA88" s="105">
        <f>IF(AA$87&gt;0,'Дополнительные услуги'!$BD$11*'Дополнительные услуги'!$BD$8*'Дополнительные услуги'!$BD$10/$D$86,0)</f>
        <v>14400</v>
      </c>
      <c r="AB88" s="105">
        <f>IF(AB$87&gt;0,'Дополнительные услуги'!$BD$11*'Дополнительные услуги'!$BD$8*'Дополнительные услуги'!$BD$10/$D$86,0)</f>
        <v>0</v>
      </c>
      <c r="AC88" s="105">
        <f>IF(AC$87&gt;0,'Дополнительные услуги'!$BD$11*'Дополнительные услуги'!$BD$8*'Дополнительные услуги'!$BD$10/$D$86,0)</f>
        <v>0</v>
      </c>
      <c r="AD88" s="105">
        <f>IF(AD$87&gt;0,'Дополнительные услуги'!$BD$11*'Дополнительные услуги'!$BD$8*'Дополнительные услуги'!$BD$10/$D$86,0)</f>
        <v>0</v>
      </c>
      <c r="AE88" s="105">
        <f>IF(AE$87&gt;0,'Дополнительные услуги'!$BD$11*'Дополнительные услуги'!$BD$8*'Дополнительные услуги'!$BD$10/$D$86,0)</f>
        <v>0</v>
      </c>
      <c r="AF88" s="105">
        <f>IF(AF$87&gt;0,'Дополнительные услуги'!$BD$11*'Дополнительные услуги'!$BD$8*'Дополнительные услуги'!$BD$10/$D$86,0)</f>
        <v>0</v>
      </c>
      <c r="AG88" s="105">
        <f>IF(AG$87&gt;0,'Дополнительные услуги'!$BD$11*'Дополнительные услуги'!$BD$8*'Дополнительные услуги'!$BD$10/$D$86,0)</f>
        <v>0</v>
      </c>
      <c r="AH88" s="105">
        <f>IF(AH$87&gt;0,'Дополнительные услуги'!$BD$11*'Дополнительные услуги'!$BD$8*'Дополнительные услуги'!$BD$10/$D$86,0)</f>
        <v>0</v>
      </c>
      <c r="AI88" s="105">
        <f>IF(AI$87&gt;0,'Дополнительные услуги'!$BD$11*'Дополнительные услуги'!$BD$8*'Дополнительные услуги'!$BD$10/$D$86,0)</f>
        <v>14400</v>
      </c>
      <c r="AJ88" s="105">
        <f>IF(AJ$87&gt;0,'Дополнительные услуги'!$BD$11*'Дополнительные услуги'!$BD$8*'Дополнительные услуги'!$BD$10/$D$86,0)</f>
        <v>14400</v>
      </c>
      <c r="AK88" s="105">
        <f>IF(AK$87&gt;0,'Дополнительные услуги'!$BD$11*'Дополнительные услуги'!$BD$8*'Дополнительные услуги'!$BD$10/$D$86,0)</f>
        <v>14400</v>
      </c>
      <c r="AL88" s="105">
        <f>IF(AL$87&gt;0,'Дополнительные услуги'!$BD$11*'Дополнительные услуги'!$BD$8*'Дополнительные услуги'!$BD$10/$D$86,0)</f>
        <v>14400</v>
      </c>
      <c r="AM88" s="105">
        <f>IF(AM$87&gt;0,'Дополнительные услуги'!$BD$11*'Дополнительные услуги'!$BD$8*'Дополнительные услуги'!$BD$10/$D$86,0)</f>
        <v>14400</v>
      </c>
      <c r="AN88" s="105">
        <f>IF(AN$87&gt;0,'Дополнительные услуги'!$BD$11*'Дополнительные услуги'!$BD$8*'Дополнительные услуги'!$BD$10/$D$86,0)</f>
        <v>14400</v>
      </c>
      <c r="AO88" s="7">
        <f>IF(AO$87&gt;0,'Дополнительные услуги'!$BD$11*'Дополнительные услуги'!$BD$8*'Дополнительные услуги'!$BD$10/$D$86,0)</f>
        <v>0</v>
      </c>
      <c r="AP88" s="7">
        <f>IF(AP$87&gt;0,'Дополнительные услуги'!$BD$11*'Дополнительные услуги'!$BD$8*'Дополнительные услуги'!$BD$10/$D$86,0)</f>
        <v>0</v>
      </c>
      <c r="AQ88" s="7">
        <f>IF(AQ$87&gt;0,'Дополнительные услуги'!$BD$11*'Дополнительные услуги'!$BD$8*'Дополнительные услуги'!$BD$10/$D$86,0)</f>
        <v>0</v>
      </c>
    </row>
    <row r="89" spans="1:43" x14ac:dyDescent="0.25">
      <c r="A89" s="81" t="s">
        <v>168</v>
      </c>
      <c r="C89" s="105">
        <f>SUM(I89:N89)</f>
        <v>48000</v>
      </c>
      <c r="D89" s="105"/>
      <c r="E89" s="105">
        <f>IF(E$87&gt;0,'Дополнительные услуги'!$BD$8*'Дополнительные услуги'!$BD$12/$D$86,0)</f>
        <v>0</v>
      </c>
      <c r="F89" s="105">
        <f>IF(F$87&gt;0,'Дополнительные услуги'!$BD$8*'Дополнительные услуги'!$BD$12/$D$86,0)</f>
        <v>0</v>
      </c>
      <c r="G89" s="105">
        <f>IF(G$87&gt;0,'Дополнительные услуги'!$BD$8*'Дополнительные услуги'!$BD$12/$D$86,0)</f>
        <v>0</v>
      </c>
      <c r="H89" s="105">
        <f>IF(H$87&gt;0,'Дополнительные услуги'!$BD$8*'Дополнительные услуги'!$BD$12/$D$86,0)</f>
        <v>0</v>
      </c>
      <c r="I89" s="105">
        <f>IF(I$87&gt;0,'Дополнительные услуги'!$BD$8*'Дополнительные услуги'!$BD$12/$D$86,0)</f>
        <v>8000</v>
      </c>
      <c r="J89" s="105">
        <f>IF(J$87&gt;0,'Дополнительные услуги'!$BD$8*'Дополнительные услуги'!$BD$12/$D$86,0)</f>
        <v>8000</v>
      </c>
      <c r="K89" s="105">
        <f>IF(K$87&gt;0,'Дополнительные услуги'!$BD$8*'Дополнительные услуги'!$BD$12/$D$86,0)</f>
        <v>8000</v>
      </c>
      <c r="L89" s="105">
        <f>IF(L$87&gt;0,'Дополнительные услуги'!$BD$8*'Дополнительные услуги'!$BD$12/$D$86,0)</f>
        <v>8000</v>
      </c>
      <c r="M89" s="105">
        <f>IF(M$87&gt;0,'Дополнительные услуги'!$BD$8*'Дополнительные услуги'!$BD$12/$D$86,0)</f>
        <v>8000</v>
      </c>
      <c r="N89" s="105">
        <f>IF(N$87&gt;0,'Дополнительные услуги'!$BD$8*'Дополнительные услуги'!$BD$12/$D$86,0)</f>
        <v>8000</v>
      </c>
      <c r="O89" s="105">
        <f>IF(O$87&gt;0,'Дополнительные услуги'!$BD$8*'Дополнительные услуги'!$BD$12/$D$86,0)</f>
        <v>0</v>
      </c>
      <c r="P89" s="105">
        <f>IF(P$87&gt;0,'Дополнительные услуги'!$BD$8*'Дополнительные услуги'!$BD$12/$D$86,0)</f>
        <v>0</v>
      </c>
      <c r="Q89" s="105">
        <f>IF(Q$87&gt;0,'Дополнительные услуги'!$BD$8*'Дополнительные услуги'!$BD$12/$D$86,0)</f>
        <v>0</v>
      </c>
      <c r="R89" s="105">
        <f>IF(R$87&gt;0,'Дополнительные услуги'!$BD$8*'Дополнительные услуги'!$BD$12/$D$86,0)</f>
        <v>0</v>
      </c>
      <c r="S89" s="105">
        <f>IF(S$87&gt;0,'Дополнительные услуги'!$BD$8*'Дополнительные услуги'!$BD$12/$D$86,0)</f>
        <v>0</v>
      </c>
      <c r="T89" s="105">
        <f>IF(T$87&gt;0,'Дополнительные услуги'!$BD$8*'Дополнительные услуги'!$BD$12/$D$86,0)</f>
        <v>0</v>
      </c>
      <c r="U89" s="105">
        <f>IF(U$87&gt;0,'Дополнительные услуги'!$BD$8*'Дополнительные услуги'!$BD$12/$D$86,0)</f>
        <v>0</v>
      </c>
      <c r="V89" s="105">
        <f>IF(V$87&gt;0,'Дополнительные услуги'!$BD$8*'Дополнительные услуги'!$BD$12/$D$86,0)</f>
        <v>8000</v>
      </c>
      <c r="W89" s="105">
        <f>IF(W$87&gt;0,'Дополнительные услуги'!$BD$8*'Дополнительные услуги'!$BD$12/$D$86,0)</f>
        <v>8000</v>
      </c>
      <c r="X89" s="105">
        <f>IF(X$87&gt;0,'Дополнительные услуги'!$BD$8*'Дополнительные услуги'!$BD$12/$D$86,0)</f>
        <v>8000</v>
      </c>
      <c r="Y89" s="105">
        <f>IF(Y$87&gt;0,'Дополнительные услуги'!$BD$8*'Дополнительные услуги'!$BD$12/$D$86,0)</f>
        <v>8000</v>
      </c>
      <c r="Z89" s="105">
        <f>IF(Z$87&gt;0,'Дополнительные услуги'!$BD$8*'Дополнительные услуги'!$BD$12/$D$86,0)</f>
        <v>8000</v>
      </c>
      <c r="AA89" s="105">
        <f>IF(AA$87&gt;0,'Дополнительные услуги'!$BD$8*'Дополнительные услуги'!$BD$12/$D$86,0)</f>
        <v>8000</v>
      </c>
      <c r="AB89" s="105">
        <f>IF(AB$87&gt;0,'Дополнительные услуги'!$BD$8*'Дополнительные услуги'!$BD$12/$D$86,0)</f>
        <v>0</v>
      </c>
      <c r="AC89" s="105">
        <f>IF(AC$87&gt;0,'Дополнительные услуги'!$BD$8*'Дополнительные услуги'!$BD$12/$D$86,0)</f>
        <v>0</v>
      </c>
      <c r="AD89" s="105">
        <f>IF(AD$87&gt;0,'Дополнительные услуги'!$BD$8*'Дополнительные услуги'!$BD$12/$D$86,0)</f>
        <v>0</v>
      </c>
      <c r="AE89" s="105">
        <f>IF(AE$87&gt;0,'Дополнительные услуги'!$BD$8*'Дополнительные услуги'!$BD$12/$D$86,0)</f>
        <v>0</v>
      </c>
      <c r="AF89" s="105">
        <f>IF(AF$87&gt;0,'Дополнительные услуги'!$BD$8*'Дополнительные услуги'!$BD$12/$D$86,0)</f>
        <v>0</v>
      </c>
      <c r="AG89" s="105">
        <f>IF(AG$87&gt;0,'Дополнительные услуги'!$BD$8*'Дополнительные услуги'!$BD$12/$D$86,0)</f>
        <v>0</v>
      </c>
      <c r="AH89" s="105">
        <f>IF(AH$87&gt;0,'Дополнительные услуги'!$BD$8*'Дополнительные услуги'!$BD$12/$D$86,0)</f>
        <v>0</v>
      </c>
      <c r="AI89" s="105">
        <f>IF(AI$87&gt;0,'Дополнительные услуги'!$BD$8*'Дополнительные услуги'!$BD$12/$D$86,0)</f>
        <v>8000</v>
      </c>
      <c r="AJ89" s="105">
        <f>IF(AJ$87&gt;0,'Дополнительные услуги'!$BD$8*'Дополнительные услуги'!$BD$12/$D$86,0)</f>
        <v>8000</v>
      </c>
      <c r="AK89" s="105">
        <f>IF(AK$87&gt;0,'Дополнительные услуги'!$BD$8*'Дополнительные услуги'!$BD$12/$D$86,0)</f>
        <v>8000</v>
      </c>
      <c r="AL89" s="105">
        <f>IF(AL$87&gt;0,'Дополнительные услуги'!$BD$8*'Дополнительные услуги'!$BD$12/$D$86,0)</f>
        <v>8000</v>
      </c>
      <c r="AM89" s="105">
        <f>IF(AM$87&gt;0,'Дополнительные услуги'!$BD$8*'Дополнительные услуги'!$BD$12/$D$86,0)</f>
        <v>8000</v>
      </c>
      <c r="AN89" s="105">
        <f>IF(AN$87&gt;0,'Дополнительные услуги'!$BD$8*'Дополнительные услуги'!$BD$12/$D$86,0)</f>
        <v>8000</v>
      </c>
      <c r="AO89" s="7">
        <f>IF(AO$87&gt;0,'Дополнительные услуги'!$BD$8*'Дополнительные услуги'!$BD$12/$D$86,0)</f>
        <v>0</v>
      </c>
      <c r="AP89" s="7">
        <f>IF(AP$87&gt;0,'Дополнительные услуги'!$BD$8*'Дополнительные услуги'!$BD$12/$D$86,0)</f>
        <v>0</v>
      </c>
      <c r="AQ89" s="7">
        <f>IF(AQ$87&gt;0,'Дополнительные услуги'!$BD$8*'Дополнительные услуги'!$BD$12/$D$86,0)</f>
        <v>0</v>
      </c>
    </row>
    <row r="90" spans="1:43" x14ac:dyDescent="0.25">
      <c r="A90" s="81" t="s">
        <v>151</v>
      </c>
      <c r="C90" s="105">
        <f>SUM(I90:N90)</f>
        <v>3000</v>
      </c>
      <c r="D90" s="105"/>
      <c r="E90" s="105">
        <f>IF(E$87&gt;0,'Дополнительные услуги'!$BD$13/$D$86,0)</f>
        <v>0</v>
      </c>
      <c r="F90" s="105">
        <f>IF(F$87&gt;0,'Дополнительные услуги'!$BD$13/$D$86,0)</f>
        <v>0</v>
      </c>
      <c r="G90" s="105">
        <f>IF(G$87&gt;0,'Дополнительные услуги'!$BD$13/$D$86,0)</f>
        <v>0</v>
      </c>
      <c r="H90" s="105">
        <f>IF(H$87&gt;0,'Дополнительные услуги'!$BD$13/$D$86,0)</f>
        <v>0</v>
      </c>
      <c r="I90" s="105">
        <f>IF(I$87&gt;0,'Дополнительные услуги'!$BD$13/$D$86,0)</f>
        <v>500</v>
      </c>
      <c r="J90" s="105">
        <f>IF(J$87&gt;0,'Дополнительные услуги'!$BD$13/$D$86,0)</f>
        <v>500</v>
      </c>
      <c r="K90" s="105">
        <f>IF(K$87&gt;0,'Дополнительные услуги'!$BD$13/$D$86,0)</f>
        <v>500</v>
      </c>
      <c r="L90" s="105">
        <f>IF(L$87&gt;0,'Дополнительные услуги'!$BD$13/$D$86,0)</f>
        <v>500</v>
      </c>
      <c r="M90" s="105">
        <f>IF(M$87&gt;0,'Дополнительные услуги'!$BD$13/$D$86,0)</f>
        <v>500</v>
      </c>
      <c r="N90" s="105">
        <f>IF(N$87&gt;0,'Дополнительные услуги'!$BD$13/$D$86,0)</f>
        <v>500</v>
      </c>
      <c r="O90" s="105">
        <f>IF(O$87&gt;0,'Дополнительные услуги'!$BD$13/$D$86,0)</f>
        <v>0</v>
      </c>
      <c r="P90" s="105">
        <f>IF(P$87&gt;0,'Дополнительные услуги'!$BD$13/$D$86,0)</f>
        <v>0</v>
      </c>
      <c r="Q90" s="105">
        <f>IF(Q$87&gt;0,'Дополнительные услуги'!$BD$13/$D$86,0)</f>
        <v>0</v>
      </c>
      <c r="R90" s="105">
        <f>IF(R$87&gt;0,'Дополнительные услуги'!$BD$13/$D$86,0)</f>
        <v>0</v>
      </c>
      <c r="S90" s="105">
        <f>IF(S$87&gt;0,'Дополнительные услуги'!$BD$13/$D$86,0)</f>
        <v>0</v>
      </c>
      <c r="T90" s="105">
        <f>IF(T$87&gt;0,'Дополнительные услуги'!$BD$13/$D$86,0)</f>
        <v>0</v>
      </c>
      <c r="U90" s="105">
        <f>IF(U$87&gt;0,'Дополнительные услуги'!$BD$13/$D$86,0)</f>
        <v>0</v>
      </c>
      <c r="V90" s="105">
        <f>IF(V$87&gt;0,'Дополнительные услуги'!$BD$13/$D$86,0)</f>
        <v>500</v>
      </c>
      <c r="W90" s="105">
        <f>IF(W$87&gt;0,'Дополнительные услуги'!$BD$13/$D$86,0)</f>
        <v>500</v>
      </c>
      <c r="X90" s="105">
        <f>IF(X$87&gt;0,'Дополнительные услуги'!$BD$13/$D$86,0)</f>
        <v>500</v>
      </c>
      <c r="Y90" s="105">
        <f>IF(Y$87&gt;0,'Дополнительные услуги'!$BD$13/$D$86,0)</f>
        <v>500</v>
      </c>
      <c r="Z90" s="105">
        <f>IF(Z$87&gt;0,'Дополнительные услуги'!$BD$13/$D$86,0)</f>
        <v>500</v>
      </c>
      <c r="AA90" s="105">
        <f>IF(AA$87&gt;0,'Дополнительные услуги'!$BD$13/$D$86,0)</f>
        <v>500</v>
      </c>
      <c r="AB90" s="105">
        <f>IF(AB$87&gt;0,'Дополнительные услуги'!$BD$13/$D$86,0)</f>
        <v>0</v>
      </c>
      <c r="AC90" s="105">
        <f>IF(AC$87&gt;0,'Дополнительные услуги'!$BD$13/$D$86,0)</f>
        <v>0</v>
      </c>
      <c r="AD90" s="105">
        <f>IF(AD$87&gt;0,'Дополнительные услуги'!$BD$13/$D$86,0)</f>
        <v>0</v>
      </c>
      <c r="AE90" s="105">
        <f>IF(AE$87&gt;0,'Дополнительные услуги'!$BD$13/$D$86,0)</f>
        <v>0</v>
      </c>
      <c r="AF90" s="105">
        <f>IF(AF$87&gt;0,'Дополнительные услуги'!$BD$13/$D$86,0)</f>
        <v>0</v>
      </c>
      <c r="AG90" s="105">
        <f>IF(AG$87&gt;0,'Дополнительные услуги'!$BD$13/$D$86,0)</f>
        <v>0</v>
      </c>
      <c r="AH90" s="105">
        <f>IF(AH$87&gt;0,'Дополнительные услуги'!$BD$13/$D$86,0)</f>
        <v>0</v>
      </c>
      <c r="AI90" s="105">
        <f>IF(AI$87&gt;0,'Дополнительные услуги'!$BD$13/$D$86,0)</f>
        <v>500</v>
      </c>
      <c r="AJ90" s="105">
        <f>IF(AJ$87&gt;0,'Дополнительные услуги'!$BD$13/$D$86,0)</f>
        <v>500</v>
      </c>
      <c r="AK90" s="105">
        <f>IF(AK$87&gt;0,'Дополнительные услуги'!$BD$13/$D$86,0)</f>
        <v>500</v>
      </c>
      <c r="AL90" s="105">
        <f>IF(AL$87&gt;0,'Дополнительные услуги'!$BD$13/$D$86,0)</f>
        <v>500</v>
      </c>
      <c r="AM90" s="105">
        <f>IF(AM$87&gt;0,'Дополнительные услуги'!$BD$13/$D$86,0)</f>
        <v>500</v>
      </c>
      <c r="AN90" s="105">
        <f>IF(AN$87&gt;0,'Дополнительные услуги'!$BD$13/$D$86,0)</f>
        <v>500</v>
      </c>
      <c r="AO90" s="7">
        <f>IF(AO$87&gt;0,'Дополнительные услуги'!$BD$13/$D$86,0)</f>
        <v>0</v>
      </c>
      <c r="AP90" s="7">
        <f>IF(AP$87&gt;0,'Дополнительные услуги'!$BD$13/$D$86,0)</f>
        <v>0</v>
      </c>
      <c r="AQ90" s="7">
        <f>IF(AQ$87&gt;0,'Дополнительные услуги'!$BD$13/$D$86,0)</f>
        <v>0</v>
      </c>
    </row>
    <row r="91" spans="1:43" x14ac:dyDescent="0.25">
      <c r="A91" s="9"/>
      <c r="C91" s="106">
        <f>C87-C88-C89-C90</f>
        <v>150600</v>
      </c>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row>
    <row r="92" spans="1:43" x14ac:dyDescent="0.25">
      <c r="A92" s="9"/>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row>
    <row r="93" spans="1:43" x14ac:dyDescent="0.25">
      <c r="A93" s="9"/>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row>
    <row r="94" spans="1:43" x14ac:dyDescent="0.25">
      <c r="A94" s="133" t="s">
        <v>153</v>
      </c>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row>
    <row r="95" spans="1:43" x14ac:dyDescent="0.25">
      <c r="A95" s="81" t="s">
        <v>66</v>
      </c>
      <c r="B95" s="7" t="s">
        <v>150</v>
      </c>
      <c r="C95" s="105">
        <f>IF('Дополнительные услуги'!$B$19="",'Дополнительные услуги'!$BD$21*'Дополнительные услуги'!$BD$22*'Дополнительные услуги'!$BD$23,0)</f>
        <v>900000</v>
      </c>
      <c r="D95" s="105"/>
      <c r="E95" s="105"/>
      <c r="F95" s="105"/>
      <c r="G95" s="105"/>
      <c r="H95" s="105"/>
      <c r="I95" s="105"/>
      <c r="J95" s="105"/>
      <c r="K95" s="105"/>
      <c r="L95" s="105"/>
      <c r="M95" s="105"/>
      <c r="N95" s="105"/>
      <c r="O95" s="105">
        <f>$C95/3</f>
        <v>300000</v>
      </c>
      <c r="P95" s="105">
        <f>$C95/3</f>
        <v>300000</v>
      </c>
      <c r="Q95" s="105">
        <f>$C95/3</f>
        <v>300000</v>
      </c>
      <c r="R95" s="105"/>
      <c r="S95" s="105"/>
      <c r="T95" s="105"/>
      <c r="U95" s="105"/>
      <c r="V95" s="105"/>
      <c r="W95" s="105"/>
      <c r="X95" s="105"/>
      <c r="Y95" s="105"/>
      <c r="Z95" s="105"/>
      <c r="AA95" s="105"/>
      <c r="AB95" s="105">
        <f>$C95/3</f>
        <v>300000</v>
      </c>
      <c r="AC95" s="105">
        <f t="shared" ref="AC95:AD101" si="13">$C95/3</f>
        <v>300000</v>
      </c>
      <c r="AD95" s="105">
        <f t="shared" si="13"/>
        <v>300000</v>
      </c>
      <c r="AE95" s="105"/>
      <c r="AF95" s="105"/>
      <c r="AG95" s="105"/>
      <c r="AH95" s="105"/>
      <c r="AI95" s="105"/>
      <c r="AJ95" s="105"/>
      <c r="AK95" s="105"/>
      <c r="AL95" s="105"/>
      <c r="AM95" s="105"/>
      <c r="AN95" s="105"/>
      <c r="AO95" s="112">
        <f t="shared" ref="AO95:AQ101" si="14">$C95/3</f>
        <v>300000</v>
      </c>
      <c r="AP95" s="112">
        <f t="shared" si="14"/>
        <v>300000</v>
      </c>
      <c r="AQ95" s="112">
        <f t="shared" si="14"/>
        <v>300000</v>
      </c>
    </row>
    <row r="96" spans="1:43" x14ac:dyDescent="0.25">
      <c r="A96" s="81" t="s">
        <v>161</v>
      </c>
      <c r="C96" s="105">
        <f>IF($C$95&gt;0,'Дополнительные услуги'!$BD$25*'Дополнительные услуги'!$BD$22*'Дополнительные услуги'!$BD$23*5,0)</f>
        <v>72000</v>
      </c>
      <c r="D96" s="105"/>
      <c r="E96" s="105"/>
      <c r="F96" s="105"/>
      <c r="G96" s="105"/>
      <c r="H96" s="105"/>
      <c r="I96" s="105"/>
      <c r="J96" s="105"/>
      <c r="K96" s="105"/>
      <c r="L96" s="105"/>
      <c r="M96" s="105"/>
      <c r="N96" s="105"/>
      <c r="O96" s="105">
        <f t="shared" ref="O96:Q101" si="15">$C96/3</f>
        <v>24000</v>
      </c>
      <c r="P96" s="105">
        <f t="shared" si="15"/>
        <v>24000</v>
      </c>
      <c r="Q96" s="105">
        <f t="shared" si="15"/>
        <v>24000</v>
      </c>
      <c r="R96" s="105"/>
      <c r="S96" s="105"/>
      <c r="T96" s="105"/>
      <c r="U96" s="105"/>
      <c r="V96" s="105"/>
      <c r="W96" s="105"/>
      <c r="X96" s="105"/>
      <c r="Y96" s="105"/>
      <c r="Z96" s="105"/>
      <c r="AA96" s="105"/>
      <c r="AB96" s="105">
        <f t="shared" ref="AB96:AB101" si="16">$C96/3</f>
        <v>24000</v>
      </c>
      <c r="AC96" s="105">
        <f t="shared" si="13"/>
        <v>24000</v>
      </c>
      <c r="AD96" s="105">
        <f t="shared" si="13"/>
        <v>24000</v>
      </c>
      <c r="AE96" s="105"/>
      <c r="AF96" s="105"/>
      <c r="AG96" s="105"/>
      <c r="AH96" s="105"/>
      <c r="AI96" s="105"/>
      <c r="AJ96" s="105"/>
      <c r="AK96" s="105"/>
      <c r="AL96" s="105"/>
      <c r="AM96" s="105"/>
      <c r="AN96" s="105"/>
      <c r="AO96" s="112">
        <f t="shared" si="14"/>
        <v>24000</v>
      </c>
      <c r="AP96" s="112">
        <f t="shared" si="14"/>
        <v>24000</v>
      </c>
      <c r="AQ96" s="112">
        <f t="shared" si="14"/>
        <v>24000</v>
      </c>
    </row>
    <row r="97" spans="1:44" x14ac:dyDescent="0.25">
      <c r="A97" s="81" t="s">
        <v>164</v>
      </c>
      <c r="C97" s="105">
        <f>IF($C$95&gt;0,('Дополнительные услуги'!$BD$27+'Дополнительные услуги'!$BD$28)*'Дополнительные услуги'!$BD$23,0)</f>
        <v>260000</v>
      </c>
      <c r="D97" s="105"/>
      <c r="E97" s="105"/>
      <c r="F97" s="105"/>
      <c r="G97" s="105"/>
      <c r="H97" s="105"/>
      <c r="I97" s="105"/>
      <c r="J97" s="105"/>
      <c r="K97" s="105"/>
      <c r="L97" s="105"/>
      <c r="M97" s="105"/>
      <c r="N97" s="105"/>
      <c r="O97" s="105">
        <f t="shared" si="15"/>
        <v>86666.666666666672</v>
      </c>
      <c r="P97" s="105">
        <f t="shared" si="15"/>
        <v>86666.666666666672</v>
      </c>
      <c r="Q97" s="105">
        <f t="shared" si="15"/>
        <v>86666.666666666672</v>
      </c>
      <c r="R97" s="105"/>
      <c r="S97" s="105"/>
      <c r="T97" s="105"/>
      <c r="U97" s="105"/>
      <c r="V97" s="105"/>
      <c r="W97" s="105"/>
      <c r="X97" s="105"/>
      <c r="Y97" s="105"/>
      <c r="Z97" s="105"/>
      <c r="AA97" s="105"/>
      <c r="AB97" s="105">
        <f t="shared" si="16"/>
        <v>86666.666666666672</v>
      </c>
      <c r="AC97" s="105">
        <f t="shared" si="13"/>
        <v>86666.666666666672</v>
      </c>
      <c r="AD97" s="105">
        <f t="shared" si="13"/>
        <v>86666.666666666672</v>
      </c>
      <c r="AE97" s="105"/>
      <c r="AF97" s="105"/>
      <c r="AG97" s="105"/>
      <c r="AH97" s="105"/>
      <c r="AI97" s="105"/>
      <c r="AJ97" s="105"/>
      <c r="AK97" s="105"/>
      <c r="AL97" s="105"/>
      <c r="AM97" s="105"/>
      <c r="AN97" s="105"/>
      <c r="AO97" s="112">
        <f t="shared" si="14"/>
        <v>86666.666666666672</v>
      </c>
      <c r="AP97" s="112">
        <f t="shared" si="14"/>
        <v>86666.666666666672</v>
      </c>
      <c r="AQ97" s="112">
        <f t="shared" si="14"/>
        <v>86666.666666666672</v>
      </c>
    </row>
    <row r="98" spans="1:44" x14ac:dyDescent="0.25">
      <c r="A98" s="81" t="s">
        <v>163</v>
      </c>
      <c r="C98" s="105">
        <f>IF($C$95&gt;0,'Дополнительные услуги'!$BD$29*'Дополнительные услуги'!$BD$23,0)</f>
        <v>20000</v>
      </c>
      <c r="D98" s="105"/>
      <c r="E98" s="105"/>
      <c r="F98" s="105"/>
      <c r="G98" s="105"/>
      <c r="H98" s="105"/>
      <c r="I98" s="105"/>
      <c r="J98" s="105"/>
      <c r="K98" s="105"/>
      <c r="L98" s="105"/>
      <c r="M98" s="105"/>
      <c r="N98" s="105"/>
      <c r="O98" s="105">
        <f t="shared" si="15"/>
        <v>6666.666666666667</v>
      </c>
      <c r="P98" s="105">
        <f t="shared" si="15"/>
        <v>6666.666666666667</v>
      </c>
      <c r="Q98" s="105">
        <f t="shared" si="15"/>
        <v>6666.666666666667</v>
      </c>
      <c r="R98" s="105"/>
      <c r="S98" s="105"/>
      <c r="T98" s="105"/>
      <c r="U98" s="105"/>
      <c r="V98" s="105"/>
      <c r="W98" s="105"/>
      <c r="X98" s="105"/>
      <c r="Y98" s="105"/>
      <c r="Z98" s="105"/>
      <c r="AA98" s="105"/>
      <c r="AB98" s="105">
        <f t="shared" si="16"/>
        <v>6666.666666666667</v>
      </c>
      <c r="AC98" s="105">
        <f t="shared" si="13"/>
        <v>6666.666666666667</v>
      </c>
      <c r="AD98" s="105">
        <f t="shared" si="13"/>
        <v>6666.666666666667</v>
      </c>
      <c r="AE98" s="105"/>
      <c r="AF98" s="105"/>
      <c r="AG98" s="105"/>
      <c r="AH98" s="105"/>
      <c r="AI98" s="105"/>
      <c r="AJ98" s="105"/>
      <c r="AK98" s="105"/>
      <c r="AL98" s="105"/>
      <c r="AM98" s="105"/>
      <c r="AN98" s="105"/>
      <c r="AO98" s="112">
        <f t="shared" si="14"/>
        <v>6666.666666666667</v>
      </c>
      <c r="AP98" s="112">
        <f t="shared" si="14"/>
        <v>6666.666666666667</v>
      </c>
      <c r="AQ98" s="112">
        <f t="shared" si="14"/>
        <v>6666.666666666667</v>
      </c>
    </row>
    <row r="99" spans="1:44" x14ac:dyDescent="0.25">
      <c r="A99" s="81" t="s">
        <v>151</v>
      </c>
      <c r="C99" s="105">
        <f>IF($C$95&gt;0,'Дополнительные услуги'!$BD$24*'Дополнительные услуги'!$BD$23,0)</f>
        <v>40000</v>
      </c>
      <c r="D99" s="105"/>
      <c r="E99" s="105"/>
      <c r="F99" s="105"/>
      <c r="G99" s="105"/>
      <c r="H99" s="105"/>
      <c r="I99" s="105"/>
      <c r="J99" s="105"/>
      <c r="K99" s="105"/>
      <c r="L99" s="105"/>
      <c r="M99" s="105"/>
      <c r="N99" s="105"/>
      <c r="O99" s="105">
        <f t="shared" si="15"/>
        <v>13333.333333333334</v>
      </c>
      <c r="P99" s="105">
        <f t="shared" si="15"/>
        <v>13333.333333333334</v>
      </c>
      <c r="Q99" s="105">
        <f t="shared" si="15"/>
        <v>13333.333333333334</v>
      </c>
      <c r="R99" s="105"/>
      <c r="S99" s="105"/>
      <c r="T99" s="105"/>
      <c r="U99" s="105"/>
      <c r="V99" s="105"/>
      <c r="W99" s="105"/>
      <c r="X99" s="105"/>
      <c r="Y99" s="105"/>
      <c r="Z99" s="105"/>
      <c r="AA99" s="105"/>
      <c r="AB99" s="105">
        <f t="shared" si="16"/>
        <v>13333.333333333334</v>
      </c>
      <c r="AC99" s="105">
        <f t="shared" si="13"/>
        <v>13333.333333333334</v>
      </c>
      <c r="AD99" s="105">
        <f t="shared" si="13"/>
        <v>13333.333333333334</v>
      </c>
      <c r="AE99" s="105"/>
      <c r="AF99" s="105"/>
      <c r="AG99" s="105"/>
      <c r="AH99" s="105"/>
      <c r="AI99" s="105"/>
      <c r="AJ99" s="105"/>
      <c r="AK99" s="105"/>
      <c r="AL99" s="105"/>
      <c r="AM99" s="105"/>
      <c r="AN99" s="105"/>
      <c r="AO99" s="112">
        <f t="shared" si="14"/>
        <v>13333.333333333334</v>
      </c>
      <c r="AP99" s="112">
        <f t="shared" si="14"/>
        <v>13333.333333333334</v>
      </c>
      <c r="AQ99" s="112">
        <f t="shared" si="14"/>
        <v>13333.333333333334</v>
      </c>
    </row>
    <row r="100" spans="1:44" x14ac:dyDescent="0.25">
      <c r="A100" s="81" t="s">
        <v>166</v>
      </c>
      <c r="C100" s="105">
        <f>IF($C$95&gt;0,'Дополнительные услуги'!$BD$26,0)</f>
        <v>12000</v>
      </c>
      <c r="D100" s="105"/>
      <c r="E100" s="105"/>
      <c r="F100" s="105"/>
      <c r="G100" s="105"/>
      <c r="H100" s="105"/>
      <c r="I100" s="105"/>
      <c r="J100" s="105"/>
      <c r="K100" s="105"/>
      <c r="L100" s="105"/>
      <c r="M100" s="105"/>
      <c r="N100" s="105">
        <f>$C100</f>
        <v>12000</v>
      </c>
      <c r="O100" s="105">
        <v>0</v>
      </c>
      <c r="P100" s="105">
        <v>0</v>
      </c>
      <c r="Q100" s="105">
        <v>0</v>
      </c>
      <c r="R100" s="105"/>
      <c r="S100" s="105"/>
      <c r="T100" s="105"/>
      <c r="U100" s="105"/>
      <c r="V100" s="105"/>
      <c r="W100" s="105"/>
      <c r="X100" s="105"/>
      <c r="Y100" s="105"/>
      <c r="Z100" s="105"/>
      <c r="AA100" s="105">
        <f>$C100/3</f>
        <v>4000</v>
      </c>
      <c r="AB100" s="105">
        <v>0</v>
      </c>
      <c r="AC100" s="105">
        <v>0</v>
      </c>
      <c r="AD100" s="105">
        <v>0</v>
      </c>
      <c r="AE100" s="105"/>
      <c r="AF100" s="105"/>
      <c r="AG100" s="105"/>
      <c r="AH100" s="105"/>
      <c r="AI100" s="105"/>
      <c r="AJ100" s="105"/>
      <c r="AK100" s="105"/>
      <c r="AL100" s="105"/>
      <c r="AM100" s="105"/>
      <c r="AN100" s="105">
        <f>$C100/3</f>
        <v>4000</v>
      </c>
      <c r="AO100" s="112">
        <v>0</v>
      </c>
      <c r="AP100" s="112">
        <v>0</v>
      </c>
      <c r="AQ100" s="112">
        <v>0</v>
      </c>
    </row>
    <row r="101" spans="1:44" x14ac:dyDescent="0.25">
      <c r="A101" s="81" t="s">
        <v>2</v>
      </c>
      <c r="C101" s="105">
        <f>IF($C$95&gt;0,'Дополнительные услуги'!$BD$23*'Дополнительные услуги'!$BD$30,0)</f>
        <v>8000</v>
      </c>
      <c r="D101" s="105"/>
      <c r="E101" s="105"/>
      <c r="F101" s="105"/>
      <c r="G101" s="105"/>
      <c r="H101" s="105"/>
      <c r="I101" s="105"/>
      <c r="J101" s="105"/>
      <c r="K101" s="105"/>
      <c r="L101" s="105"/>
      <c r="M101" s="105"/>
      <c r="N101" s="105"/>
      <c r="O101" s="105">
        <f t="shared" si="15"/>
        <v>2666.6666666666665</v>
      </c>
      <c r="P101" s="105">
        <f t="shared" si="15"/>
        <v>2666.6666666666665</v>
      </c>
      <c r="Q101" s="105">
        <f t="shared" si="15"/>
        <v>2666.6666666666665</v>
      </c>
      <c r="R101" s="105"/>
      <c r="S101" s="105"/>
      <c r="T101" s="105"/>
      <c r="U101" s="105"/>
      <c r="V101" s="105"/>
      <c r="W101" s="105"/>
      <c r="X101" s="105"/>
      <c r="Y101" s="105"/>
      <c r="Z101" s="105"/>
      <c r="AA101" s="105"/>
      <c r="AB101" s="105">
        <f t="shared" si="16"/>
        <v>2666.6666666666665</v>
      </c>
      <c r="AC101" s="105">
        <f t="shared" si="13"/>
        <v>2666.6666666666665</v>
      </c>
      <c r="AD101" s="105">
        <f t="shared" si="13"/>
        <v>2666.6666666666665</v>
      </c>
      <c r="AE101" s="105"/>
      <c r="AF101" s="105"/>
      <c r="AG101" s="105"/>
      <c r="AH101" s="105"/>
      <c r="AI101" s="105"/>
      <c r="AJ101" s="105"/>
      <c r="AK101" s="105"/>
      <c r="AL101" s="105"/>
      <c r="AM101" s="105"/>
      <c r="AN101" s="105"/>
      <c r="AO101" s="112">
        <f t="shared" si="14"/>
        <v>2666.6666666666665</v>
      </c>
      <c r="AP101" s="112">
        <f t="shared" si="14"/>
        <v>2666.6666666666665</v>
      </c>
      <c r="AQ101" s="112">
        <f t="shared" si="14"/>
        <v>2666.6666666666665</v>
      </c>
    </row>
    <row r="102" spans="1:44" x14ac:dyDescent="0.25">
      <c r="C102" s="106">
        <f>C95-C96-C97-C98-C99-C100-C101</f>
        <v>488000</v>
      </c>
      <c r="D102" s="105"/>
      <c r="E102" s="105"/>
      <c r="F102" s="105"/>
      <c r="G102" s="105"/>
      <c r="H102" s="105"/>
      <c r="I102" s="105"/>
      <c r="J102" s="105"/>
      <c r="K102" s="105"/>
      <c r="L102" s="105"/>
      <c r="M102" s="105"/>
      <c r="N102" s="106">
        <f t="shared" ref="N102:Q102" si="17">N95-N96-N97-N98-N99-N100-N101</f>
        <v>-12000</v>
      </c>
      <c r="O102" s="106">
        <f t="shared" si="17"/>
        <v>166666.66666666666</v>
      </c>
      <c r="P102" s="106">
        <f t="shared" si="17"/>
        <v>166666.66666666666</v>
      </c>
      <c r="Q102" s="106">
        <f t="shared" si="17"/>
        <v>166666.66666666666</v>
      </c>
      <c r="R102" s="105"/>
      <c r="S102" s="105"/>
      <c r="T102" s="105"/>
      <c r="U102" s="105"/>
      <c r="V102" s="105"/>
      <c r="W102" s="105"/>
      <c r="X102" s="105"/>
      <c r="Y102" s="105"/>
      <c r="Z102" s="105"/>
      <c r="AA102" s="106">
        <f t="shared" ref="AA102:AD102" si="18">AA95-AA96-AA97-AA98-AA99-AA100-AA101</f>
        <v>-4000</v>
      </c>
      <c r="AB102" s="106">
        <f t="shared" si="18"/>
        <v>166666.66666666666</v>
      </c>
      <c r="AC102" s="106">
        <f t="shared" si="18"/>
        <v>166666.66666666666</v>
      </c>
      <c r="AD102" s="106">
        <f t="shared" si="18"/>
        <v>166666.66666666666</v>
      </c>
      <c r="AE102" s="105"/>
      <c r="AF102" s="105"/>
      <c r="AG102" s="105"/>
      <c r="AH102" s="105"/>
      <c r="AI102" s="105"/>
      <c r="AJ102" s="105"/>
      <c r="AK102" s="105"/>
      <c r="AL102" s="105"/>
      <c r="AM102" s="105"/>
      <c r="AN102" s="106">
        <f t="shared" ref="AN102:AQ102" si="19">AN95-AN96-AN97-AN98-AN99-AN100-AN101</f>
        <v>-4000</v>
      </c>
      <c r="AO102" s="106">
        <f t="shared" si="19"/>
        <v>166666.66666666666</v>
      </c>
      <c r="AP102" s="106">
        <f t="shared" si="19"/>
        <v>166666.66666666666</v>
      </c>
      <c r="AQ102" s="106">
        <f t="shared" si="19"/>
        <v>166666.66666666666</v>
      </c>
    </row>
    <row r="103" spans="1:44" x14ac:dyDescent="0.2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row>
    <row r="104" spans="1:44" x14ac:dyDescent="0.2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row>
    <row r="109" spans="1:44" x14ac:dyDescent="0.25">
      <c r="A109" s="110" t="s">
        <v>155</v>
      </c>
    </row>
    <row r="110" spans="1:44" x14ac:dyDescent="0.25">
      <c r="A110" s="7" t="s">
        <v>159</v>
      </c>
      <c r="B110" s="7" t="s">
        <v>22</v>
      </c>
      <c r="C110" s="7" t="s">
        <v>7</v>
      </c>
      <c r="D110" s="7" t="s">
        <v>9</v>
      </c>
      <c r="E110" s="7" t="s">
        <v>10</v>
      </c>
      <c r="F110" s="7" t="s">
        <v>11</v>
      </c>
      <c r="G110" s="7" t="s">
        <v>12</v>
      </c>
      <c r="H110" s="7" t="s">
        <v>13</v>
      </c>
      <c r="I110" s="7" t="s">
        <v>14</v>
      </c>
      <c r="J110" s="7" t="s">
        <v>15</v>
      </c>
      <c r="K110" s="7" t="s">
        <v>16</v>
      </c>
      <c r="L110" s="7" t="s">
        <v>17</v>
      </c>
      <c r="M110" s="7" t="s">
        <v>18</v>
      </c>
      <c r="N110" s="7" t="s">
        <v>19</v>
      </c>
      <c r="O110" s="7" t="s">
        <v>7</v>
      </c>
      <c r="P110" s="7" t="s">
        <v>9</v>
      </c>
      <c r="Q110" s="7" t="s">
        <v>10</v>
      </c>
      <c r="R110" s="7" t="s">
        <v>11</v>
      </c>
      <c r="S110" s="7" t="s">
        <v>12</v>
      </c>
      <c r="T110" s="7" t="s">
        <v>13</v>
      </c>
      <c r="U110" s="7" t="s">
        <v>14</v>
      </c>
      <c r="V110" s="7" t="s">
        <v>15</v>
      </c>
      <c r="W110" s="7" t="s">
        <v>16</v>
      </c>
      <c r="X110" s="7" t="s">
        <v>17</v>
      </c>
      <c r="Y110" s="7" t="s">
        <v>18</v>
      </c>
      <c r="Z110" s="7" t="s">
        <v>19</v>
      </c>
      <c r="AA110" s="7" t="s">
        <v>7</v>
      </c>
      <c r="AB110" s="7" t="s">
        <v>9</v>
      </c>
      <c r="AC110" s="7" t="s">
        <v>10</v>
      </c>
      <c r="AD110" s="7" t="s">
        <v>11</v>
      </c>
      <c r="AE110" s="7" t="s">
        <v>12</v>
      </c>
      <c r="AF110" s="7" t="s">
        <v>13</v>
      </c>
      <c r="AG110" s="7" t="s">
        <v>14</v>
      </c>
      <c r="AH110" s="7" t="s">
        <v>15</v>
      </c>
      <c r="AI110" s="7" t="s">
        <v>16</v>
      </c>
      <c r="AJ110" s="7" t="s">
        <v>17</v>
      </c>
      <c r="AK110" s="7" t="s">
        <v>18</v>
      </c>
      <c r="AL110" s="7" t="s">
        <v>19</v>
      </c>
      <c r="AM110" s="105"/>
      <c r="AN110" s="105"/>
      <c r="AO110" s="105"/>
      <c r="AP110" s="105"/>
      <c r="AQ110" s="105"/>
      <c r="AR110" s="105"/>
    </row>
    <row r="111" spans="1:44" x14ac:dyDescent="0.25">
      <c r="A111" s="110"/>
      <c r="B111" s="110" t="s">
        <v>69</v>
      </c>
      <c r="C111" s="112">
        <f t="shared" ref="C111:N112" si="20">F41</f>
        <v>4.1999999999999993</v>
      </c>
      <c r="D111" s="112">
        <f t="shared" si="20"/>
        <v>6</v>
      </c>
      <c r="E111" s="112">
        <f t="shared" si="20"/>
        <v>6.6000000000000005</v>
      </c>
      <c r="F111" s="112">
        <f t="shared" si="20"/>
        <v>7.8000000000000007</v>
      </c>
      <c r="G111" s="112">
        <f t="shared" si="20"/>
        <v>7.1999999999999993</v>
      </c>
      <c r="H111" s="112">
        <f t="shared" si="20"/>
        <v>7.8000000000000007</v>
      </c>
      <c r="I111" s="112">
        <f t="shared" si="20"/>
        <v>7.8000000000000007</v>
      </c>
      <c r="J111" s="112">
        <f t="shared" si="20"/>
        <v>7.8000000000000007</v>
      </c>
      <c r="K111" s="112">
        <f t="shared" si="20"/>
        <v>7.1999999999999993</v>
      </c>
      <c r="L111" s="112">
        <f t="shared" si="20"/>
        <v>0</v>
      </c>
      <c r="M111" s="112">
        <f t="shared" si="20"/>
        <v>0</v>
      </c>
      <c r="N111" s="112">
        <f t="shared" si="20"/>
        <v>0</v>
      </c>
      <c r="O111" s="112">
        <f t="shared" ref="O111:Z112" si="21">S41</f>
        <v>8.16</v>
      </c>
      <c r="P111" s="112">
        <f t="shared" si="21"/>
        <v>8.76</v>
      </c>
      <c r="Q111" s="112">
        <f t="shared" si="21"/>
        <v>8.76</v>
      </c>
      <c r="R111" s="112">
        <f t="shared" si="21"/>
        <v>8.76</v>
      </c>
      <c r="S111" s="112">
        <f t="shared" si="21"/>
        <v>8.0400000000000009</v>
      </c>
      <c r="T111" s="112">
        <f t="shared" si="21"/>
        <v>8.76</v>
      </c>
      <c r="U111" s="112">
        <f t="shared" si="21"/>
        <v>8.76</v>
      </c>
      <c r="V111" s="112">
        <f t="shared" si="21"/>
        <v>8.76</v>
      </c>
      <c r="W111" s="112">
        <f t="shared" si="21"/>
        <v>8.0400000000000009</v>
      </c>
      <c r="X111" s="112">
        <f t="shared" si="21"/>
        <v>0</v>
      </c>
      <c r="Y111" s="112">
        <f t="shared" si="21"/>
        <v>0</v>
      </c>
      <c r="Z111" s="112">
        <f t="shared" si="21"/>
        <v>0</v>
      </c>
      <c r="AA111" s="112">
        <f t="shared" ref="AA111:AL112" si="22">AF41</f>
        <v>9.120000000000001</v>
      </c>
      <c r="AB111" s="112">
        <f t="shared" si="22"/>
        <v>9.84</v>
      </c>
      <c r="AC111" s="112">
        <f t="shared" si="22"/>
        <v>10.08</v>
      </c>
      <c r="AD111" s="112">
        <f t="shared" si="22"/>
        <v>10.08</v>
      </c>
      <c r="AE111" s="112">
        <f t="shared" si="22"/>
        <v>9.24</v>
      </c>
      <c r="AF111" s="112">
        <f t="shared" si="22"/>
        <v>10.08</v>
      </c>
      <c r="AG111" s="112">
        <f t="shared" si="22"/>
        <v>10.08</v>
      </c>
      <c r="AH111" s="112">
        <f t="shared" si="22"/>
        <v>10.08</v>
      </c>
      <c r="AI111" s="112">
        <f t="shared" si="22"/>
        <v>9.24</v>
      </c>
      <c r="AJ111" s="112">
        <f t="shared" si="22"/>
        <v>0</v>
      </c>
      <c r="AK111" s="112">
        <f t="shared" si="22"/>
        <v>0</v>
      </c>
      <c r="AL111" s="112">
        <f t="shared" si="22"/>
        <v>0</v>
      </c>
      <c r="AM111" s="105"/>
      <c r="AN111" s="105"/>
      <c r="AO111" s="105"/>
      <c r="AP111" s="105"/>
      <c r="AQ111" s="105"/>
      <c r="AR111" s="105"/>
    </row>
    <row r="112" spans="1:44" x14ac:dyDescent="0.25">
      <c r="A112" s="110"/>
      <c r="B112" s="110" t="s">
        <v>68</v>
      </c>
      <c r="C112" s="112">
        <f t="shared" si="20"/>
        <v>83.999999999999986</v>
      </c>
      <c r="D112" s="112">
        <f t="shared" si="20"/>
        <v>120</v>
      </c>
      <c r="E112" s="112">
        <f t="shared" si="20"/>
        <v>132</v>
      </c>
      <c r="F112" s="112">
        <f t="shared" si="20"/>
        <v>156</v>
      </c>
      <c r="G112" s="112">
        <f t="shared" si="20"/>
        <v>144</v>
      </c>
      <c r="H112" s="112">
        <f t="shared" si="20"/>
        <v>156</v>
      </c>
      <c r="I112" s="112">
        <f t="shared" si="20"/>
        <v>156</v>
      </c>
      <c r="J112" s="112">
        <f t="shared" si="20"/>
        <v>156</v>
      </c>
      <c r="K112" s="112">
        <f t="shared" si="20"/>
        <v>144</v>
      </c>
      <c r="L112" s="112">
        <f t="shared" si="20"/>
        <v>0</v>
      </c>
      <c r="M112" s="112">
        <f t="shared" si="20"/>
        <v>0</v>
      </c>
      <c r="N112" s="112">
        <f t="shared" si="20"/>
        <v>0</v>
      </c>
      <c r="O112" s="112">
        <f t="shared" si="21"/>
        <v>163.19999999999999</v>
      </c>
      <c r="P112" s="112">
        <f t="shared" si="21"/>
        <v>175.2</v>
      </c>
      <c r="Q112" s="112">
        <f t="shared" si="21"/>
        <v>175.2</v>
      </c>
      <c r="R112" s="112">
        <f t="shared" si="21"/>
        <v>175.2</v>
      </c>
      <c r="S112" s="112">
        <f t="shared" si="21"/>
        <v>160.80000000000001</v>
      </c>
      <c r="T112" s="112">
        <f t="shared" si="21"/>
        <v>175.2</v>
      </c>
      <c r="U112" s="112">
        <f t="shared" si="21"/>
        <v>175.2</v>
      </c>
      <c r="V112" s="112">
        <f t="shared" si="21"/>
        <v>175.2</v>
      </c>
      <c r="W112" s="112">
        <f t="shared" si="21"/>
        <v>160.80000000000001</v>
      </c>
      <c r="X112" s="112">
        <f t="shared" si="21"/>
        <v>0</v>
      </c>
      <c r="Y112" s="112">
        <f t="shared" si="21"/>
        <v>0</v>
      </c>
      <c r="Z112" s="112">
        <f t="shared" si="21"/>
        <v>0</v>
      </c>
      <c r="AA112" s="112">
        <f t="shared" si="22"/>
        <v>182.40000000000003</v>
      </c>
      <c r="AB112" s="112">
        <f t="shared" si="22"/>
        <v>196.8</v>
      </c>
      <c r="AC112" s="112">
        <f t="shared" si="22"/>
        <v>201.6</v>
      </c>
      <c r="AD112" s="112">
        <f t="shared" si="22"/>
        <v>201.6</v>
      </c>
      <c r="AE112" s="112">
        <f t="shared" si="22"/>
        <v>184.8</v>
      </c>
      <c r="AF112" s="112">
        <f t="shared" si="22"/>
        <v>201.6</v>
      </c>
      <c r="AG112" s="112">
        <f t="shared" si="22"/>
        <v>201.6</v>
      </c>
      <c r="AH112" s="112">
        <f t="shared" si="22"/>
        <v>201.6</v>
      </c>
      <c r="AI112" s="112">
        <f t="shared" si="22"/>
        <v>184.8</v>
      </c>
      <c r="AJ112" s="112">
        <f t="shared" si="22"/>
        <v>0</v>
      </c>
      <c r="AK112" s="112">
        <f t="shared" si="22"/>
        <v>0</v>
      </c>
      <c r="AL112" s="112">
        <f t="shared" si="22"/>
        <v>0</v>
      </c>
      <c r="AM112" s="105"/>
      <c r="AN112" s="105"/>
      <c r="AO112" s="105"/>
      <c r="AP112" s="105"/>
      <c r="AQ112" s="105"/>
      <c r="AR112" s="105"/>
    </row>
    <row r="114" spans="1:41" x14ac:dyDescent="0.25">
      <c r="A114" s="7" t="s">
        <v>156</v>
      </c>
      <c r="B114" s="7" t="str">
        <f>B110</f>
        <v>Месяц</v>
      </c>
      <c r="C114" s="7" t="str">
        <f t="shared" ref="C114:AL114" si="23">C110</f>
        <v>Сентябрь</v>
      </c>
      <c r="D114" s="7" t="str">
        <f t="shared" si="23"/>
        <v>Октябрь</v>
      </c>
      <c r="E114" s="7" t="str">
        <f t="shared" si="23"/>
        <v>Ноябрь</v>
      </c>
      <c r="F114" s="7" t="str">
        <f t="shared" si="23"/>
        <v>Декабрь</v>
      </c>
      <c r="G114" s="7" t="str">
        <f t="shared" si="23"/>
        <v>Январь</v>
      </c>
      <c r="H114" s="7" t="str">
        <f t="shared" si="23"/>
        <v>Февраль</v>
      </c>
      <c r="I114" s="7" t="str">
        <f t="shared" si="23"/>
        <v>Март</v>
      </c>
      <c r="J114" s="7" t="str">
        <f t="shared" si="23"/>
        <v>Апрель</v>
      </c>
      <c r="K114" s="7" t="str">
        <f t="shared" si="23"/>
        <v>Май</v>
      </c>
      <c r="L114" s="7" t="str">
        <f t="shared" si="23"/>
        <v>Июнь</v>
      </c>
      <c r="M114" s="7" t="str">
        <f t="shared" si="23"/>
        <v>Июль</v>
      </c>
      <c r="N114" s="7" t="str">
        <f t="shared" si="23"/>
        <v>Август</v>
      </c>
      <c r="O114" s="7" t="str">
        <f t="shared" si="23"/>
        <v>Сентябрь</v>
      </c>
      <c r="P114" s="7" t="str">
        <f t="shared" si="23"/>
        <v>Октябрь</v>
      </c>
      <c r="Q114" s="7" t="str">
        <f t="shared" si="23"/>
        <v>Ноябрь</v>
      </c>
      <c r="R114" s="7" t="str">
        <f t="shared" si="23"/>
        <v>Декабрь</v>
      </c>
      <c r="S114" s="7" t="str">
        <f t="shared" si="23"/>
        <v>Январь</v>
      </c>
      <c r="T114" s="7" t="str">
        <f t="shared" si="23"/>
        <v>Февраль</v>
      </c>
      <c r="U114" s="7" t="str">
        <f t="shared" si="23"/>
        <v>Март</v>
      </c>
      <c r="V114" s="7" t="str">
        <f t="shared" si="23"/>
        <v>Апрель</v>
      </c>
      <c r="W114" s="7" t="str">
        <f t="shared" si="23"/>
        <v>Май</v>
      </c>
      <c r="X114" s="7" t="str">
        <f t="shared" si="23"/>
        <v>Июнь</v>
      </c>
      <c r="Y114" s="7" t="str">
        <f t="shared" si="23"/>
        <v>Июль</v>
      </c>
      <c r="Z114" s="7" t="str">
        <f t="shared" si="23"/>
        <v>Август</v>
      </c>
      <c r="AA114" s="7" t="str">
        <f t="shared" si="23"/>
        <v>Сентябрь</v>
      </c>
      <c r="AB114" s="7" t="str">
        <f t="shared" si="23"/>
        <v>Октябрь</v>
      </c>
      <c r="AC114" s="7" t="str">
        <f t="shared" si="23"/>
        <v>Ноябрь</v>
      </c>
      <c r="AD114" s="7" t="str">
        <f t="shared" si="23"/>
        <v>Декабрь</v>
      </c>
      <c r="AE114" s="7" t="str">
        <f t="shared" si="23"/>
        <v>Январь</v>
      </c>
      <c r="AF114" s="7" t="str">
        <f t="shared" si="23"/>
        <v>Февраль</v>
      </c>
      <c r="AG114" s="7" t="str">
        <f t="shared" si="23"/>
        <v>Март</v>
      </c>
      <c r="AH114" s="7" t="str">
        <f t="shared" si="23"/>
        <v>Апрель</v>
      </c>
      <c r="AI114" s="7" t="str">
        <f t="shared" si="23"/>
        <v>Май</v>
      </c>
      <c r="AJ114" s="7" t="str">
        <f t="shared" si="23"/>
        <v>Июнь</v>
      </c>
      <c r="AK114" s="7" t="str">
        <f t="shared" si="23"/>
        <v>Июль</v>
      </c>
      <c r="AL114" s="7" t="str">
        <f t="shared" si="23"/>
        <v>Август</v>
      </c>
    </row>
    <row r="115" spans="1:41" x14ac:dyDescent="0.25">
      <c r="B115" s="7" t="s">
        <v>158</v>
      </c>
      <c r="C115" s="112">
        <f>Вспомогательный!C111/Вводные!$BG$13*100</f>
        <v>34.999999999999993</v>
      </c>
      <c r="D115" s="112">
        <f>Вспомогательный!D111/Вводные!$BG$13*100</f>
        <v>50</v>
      </c>
      <c r="E115" s="112">
        <f>Вспомогательный!E111/Вводные!$BG$13*100</f>
        <v>55.000000000000007</v>
      </c>
      <c r="F115" s="112">
        <f>Вспомогательный!F111/Вводные!$BG$13*100</f>
        <v>65</v>
      </c>
      <c r="G115" s="112">
        <f>Вспомогательный!G111/Вводные!$BG$13*100</f>
        <v>60</v>
      </c>
      <c r="H115" s="112">
        <f>Вспомогательный!H111/Вводные!$BG$13*100</f>
        <v>65</v>
      </c>
      <c r="I115" s="112">
        <f>Вспомогательный!I111/Вводные!$BG$13*100</f>
        <v>65</v>
      </c>
      <c r="J115" s="112">
        <f>Вспомогательный!J111/Вводные!$BG$13*100</f>
        <v>65</v>
      </c>
      <c r="K115" s="112">
        <f>Вспомогательный!K111/Вводные!$BG$13*100</f>
        <v>60</v>
      </c>
      <c r="L115" s="112">
        <f>Вспомогательный!L111/Вводные!$BG$13*100</f>
        <v>0</v>
      </c>
      <c r="M115" s="112">
        <f>Вспомогательный!M111/Вводные!$BG$13*100</f>
        <v>0</v>
      </c>
      <c r="N115" s="112">
        <f>Вспомогательный!N111/Вводные!$BG$13*100</f>
        <v>0</v>
      </c>
      <c r="O115" s="112">
        <f>Вспомогательный!O111/Вводные!$BG$13*100</f>
        <v>68</v>
      </c>
      <c r="P115" s="112">
        <f>Вспомогательный!P111/Вводные!$BG$13*100</f>
        <v>73</v>
      </c>
      <c r="Q115" s="112">
        <f>Вспомогательный!Q111/Вводные!$BG$13*100</f>
        <v>73</v>
      </c>
      <c r="R115" s="112">
        <f>Вспомогательный!R111/Вводные!$BG$13*100</f>
        <v>73</v>
      </c>
      <c r="S115" s="112">
        <f>Вспомогательный!S111/Вводные!$BG$13*100</f>
        <v>67</v>
      </c>
      <c r="T115" s="112">
        <f>Вспомогательный!T111/Вводные!$BG$13*100</f>
        <v>73</v>
      </c>
      <c r="U115" s="112">
        <f>Вспомогательный!U111/Вводные!$BG$13*100</f>
        <v>73</v>
      </c>
      <c r="V115" s="112">
        <f>Вспомогательный!V111/Вводные!$BG$13*100</f>
        <v>73</v>
      </c>
      <c r="W115" s="112">
        <f>Вспомогательный!W111/Вводные!$BG$13*100</f>
        <v>67</v>
      </c>
      <c r="X115" s="112">
        <f>Вспомогательный!X111/Вводные!$BG$13*100</f>
        <v>0</v>
      </c>
      <c r="Y115" s="112">
        <f>Вспомогательный!Y111/Вводные!$BG$13*100</f>
        <v>0</v>
      </c>
      <c r="Z115" s="112">
        <f>Вспомогательный!Z111/Вводные!$BG$13*100</f>
        <v>0</v>
      </c>
      <c r="AA115" s="112">
        <f>Вспомогательный!AA111/Вводные!$BG$13*100</f>
        <v>76.000000000000014</v>
      </c>
      <c r="AB115" s="112">
        <f>Вспомогательный!AB111/Вводные!$BG$13*100</f>
        <v>82</v>
      </c>
      <c r="AC115" s="112">
        <f>Вспомогательный!AC111/Вводные!$BG$13*100</f>
        <v>84</v>
      </c>
      <c r="AD115" s="112">
        <f>Вспомогательный!AD111/Вводные!$BG$13*100</f>
        <v>84</v>
      </c>
      <c r="AE115" s="112">
        <f>Вспомогательный!AE111/Вводные!$BG$13*100</f>
        <v>77</v>
      </c>
      <c r="AF115" s="112">
        <f>Вспомогательный!AF111/Вводные!$BG$13*100</f>
        <v>84</v>
      </c>
      <c r="AG115" s="112">
        <f>Вспомогательный!AG111/Вводные!$BG$13*100</f>
        <v>84</v>
      </c>
      <c r="AH115" s="112">
        <f>Вспомогательный!AH111/Вводные!$BG$13*100</f>
        <v>84</v>
      </c>
      <c r="AI115" s="112">
        <f>Вспомогательный!AI111/Вводные!$BG$13*100</f>
        <v>77</v>
      </c>
      <c r="AJ115" s="112">
        <f>Вспомогательный!AJ111/Вводные!$BG$13*100</f>
        <v>0</v>
      </c>
      <c r="AK115" s="112">
        <f>Вспомогательный!AK111/Вводные!$BG$13*100</f>
        <v>0</v>
      </c>
      <c r="AL115" s="112">
        <f>Вспомогательный!AL111/Вводные!$BG$13*100</f>
        <v>0</v>
      </c>
    </row>
    <row r="118" spans="1:41" x14ac:dyDescent="0.25">
      <c r="A118" s="7" t="s">
        <v>245</v>
      </c>
      <c r="B118" s="7" t="str">
        <f>B114</f>
        <v>Месяц</v>
      </c>
      <c r="C118" s="7" t="str">
        <f t="shared" ref="C118:AL118" si="24">C114</f>
        <v>Сентябрь</v>
      </c>
      <c r="D118" s="7" t="str">
        <f t="shared" si="24"/>
        <v>Октябрь</v>
      </c>
      <c r="E118" s="7" t="str">
        <f t="shared" si="24"/>
        <v>Ноябрь</v>
      </c>
      <c r="F118" s="7" t="str">
        <f t="shared" si="24"/>
        <v>Декабрь</v>
      </c>
      <c r="G118" s="7" t="str">
        <f t="shared" si="24"/>
        <v>Январь</v>
      </c>
      <c r="H118" s="7" t="str">
        <f t="shared" si="24"/>
        <v>Февраль</v>
      </c>
      <c r="I118" s="7" t="str">
        <f t="shared" si="24"/>
        <v>Март</v>
      </c>
      <c r="J118" s="7" t="str">
        <f t="shared" si="24"/>
        <v>Апрель</v>
      </c>
      <c r="K118" s="7" t="str">
        <f t="shared" si="24"/>
        <v>Май</v>
      </c>
      <c r="L118" s="7" t="str">
        <f t="shared" si="24"/>
        <v>Июнь</v>
      </c>
      <c r="M118" s="7" t="str">
        <f t="shared" si="24"/>
        <v>Июль</v>
      </c>
      <c r="N118" s="7" t="str">
        <f t="shared" si="24"/>
        <v>Август</v>
      </c>
      <c r="O118" s="7" t="str">
        <f t="shared" si="24"/>
        <v>Сентябрь</v>
      </c>
      <c r="P118" s="7" t="str">
        <f t="shared" si="24"/>
        <v>Октябрь</v>
      </c>
      <c r="Q118" s="7" t="str">
        <f t="shared" si="24"/>
        <v>Ноябрь</v>
      </c>
      <c r="R118" s="7" t="str">
        <f t="shared" si="24"/>
        <v>Декабрь</v>
      </c>
      <c r="S118" s="7" t="str">
        <f t="shared" si="24"/>
        <v>Январь</v>
      </c>
      <c r="T118" s="7" t="str">
        <f t="shared" si="24"/>
        <v>Февраль</v>
      </c>
      <c r="U118" s="7" t="str">
        <f t="shared" si="24"/>
        <v>Март</v>
      </c>
      <c r="V118" s="7" t="str">
        <f t="shared" si="24"/>
        <v>Апрель</v>
      </c>
      <c r="W118" s="7" t="str">
        <f t="shared" si="24"/>
        <v>Май</v>
      </c>
      <c r="X118" s="7" t="str">
        <f t="shared" si="24"/>
        <v>Июнь</v>
      </c>
      <c r="Y118" s="7" t="str">
        <f t="shared" si="24"/>
        <v>Июль</v>
      </c>
      <c r="Z118" s="7" t="str">
        <f t="shared" si="24"/>
        <v>Август</v>
      </c>
      <c r="AA118" s="7" t="str">
        <f t="shared" si="24"/>
        <v>Сентябрь</v>
      </c>
      <c r="AB118" s="7" t="str">
        <f t="shared" si="24"/>
        <v>Октябрь</v>
      </c>
      <c r="AC118" s="7" t="str">
        <f t="shared" si="24"/>
        <v>Ноябрь</v>
      </c>
      <c r="AD118" s="7" t="str">
        <f t="shared" si="24"/>
        <v>Декабрь</v>
      </c>
      <c r="AE118" s="7" t="str">
        <f t="shared" si="24"/>
        <v>Январь</v>
      </c>
      <c r="AF118" s="7" t="str">
        <f t="shared" si="24"/>
        <v>Февраль</v>
      </c>
      <c r="AG118" s="7" t="str">
        <f t="shared" si="24"/>
        <v>Март</v>
      </c>
      <c r="AH118" s="7" t="str">
        <f t="shared" si="24"/>
        <v>Апрель</v>
      </c>
      <c r="AI118" s="7" t="str">
        <f t="shared" si="24"/>
        <v>Май</v>
      </c>
      <c r="AJ118" s="7" t="str">
        <f t="shared" si="24"/>
        <v>Июнь</v>
      </c>
      <c r="AK118" s="7" t="str">
        <f t="shared" si="24"/>
        <v>Июль</v>
      </c>
      <c r="AL118" s="7" t="str">
        <f t="shared" si="24"/>
        <v>Август</v>
      </c>
    </row>
    <row r="119" spans="1:41" x14ac:dyDescent="0.25">
      <c r="B119" s="110" t="s">
        <v>247</v>
      </c>
      <c r="C119" s="107">
        <f>F43</f>
        <v>449924.99999999994</v>
      </c>
      <c r="D119" s="107">
        <f t="shared" ref="D119:N119" si="25">G43</f>
        <v>642750</v>
      </c>
      <c r="E119" s="107">
        <f t="shared" si="25"/>
        <v>707025</v>
      </c>
      <c r="F119" s="107">
        <f t="shared" si="25"/>
        <v>835575</v>
      </c>
      <c r="G119" s="107">
        <f t="shared" si="25"/>
        <v>771300</v>
      </c>
      <c r="H119" s="107">
        <f t="shared" si="25"/>
        <v>835575</v>
      </c>
      <c r="I119" s="107">
        <f t="shared" si="25"/>
        <v>835575</v>
      </c>
      <c r="J119" s="107">
        <f t="shared" si="25"/>
        <v>835575</v>
      </c>
      <c r="K119" s="107">
        <f t="shared" si="25"/>
        <v>771300</v>
      </c>
      <c r="L119" s="107">
        <f t="shared" si="25"/>
        <v>0</v>
      </c>
      <c r="M119" s="107">
        <f t="shared" si="25"/>
        <v>0</v>
      </c>
      <c r="N119" s="107">
        <f t="shared" si="25"/>
        <v>0</v>
      </c>
      <c r="O119" s="107">
        <f>S43</f>
        <v>874139.99999999988</v>
      </c>
      <c r="P119" s="107">
        <f t="shared" ref="P119:Z119" si="26">T43</f>
        <v>938414.99999999988</v>
      </c>
      <c r="Q119" s="107">
        <f t="shared" si="26"/>
        <v>938414.99999999988</v>
      </c>
      <c r="R119" s="107">
        <f t="shared" si="26"/>
        <v>938414.99999999988</v>
      </c>
      <c r="S119" s="107">
        <f t="shared" si="26"/>
        <v>861285.00000000012</v>
      </c>
      <c r="T119" s="107">
        <f t="shared" si="26"/>
        <v>938414.99999999988</v>
      </c>
      <c r="U119" s="107">
        <f t="shared" si="26"/>
        <v>938414.99999999988</v>
      </c>
      <c r="V119" s="107">
        <f t="shared" si="26"/>
        <v>938414.99999999988</v>
      </c>
      <c r="W119" s="107">
        <f t="shared" si="26"/>
        <v>861285.00000000012</v>
      </c>
      <c r="X119" s="107">
        <f t="shared" si="26"/>
        <v>0</v>
      </c>
      <c r="Y119" s="107">
        <f t="shared" si="26"/>
        <v>0</v>
      </c>
      <c r="Z119" s="107">
        <f t="shared" si="26"/>
        <v>0</v>
      </c>
      <c r="AA119" s="107">
        <f>AF43</f>
        <v>976980.00000000023</v>
      </c>
      <c r="AB119" s="107">
        <f t="shared" ref="AB119:AL119" si="27">AG43</f>
        <v>1054110</v>
      </c>
      <c r="AC119" s="107">
        <f t="shared" si="27"/>
        <v>1079820</v>
      </c>
      <c r="AD119" s="107">
        <f t="shared" si="27"/>
        <v>1079820</v>
      </c>
      <c r="AE119" s="107">
        <f t="shared" si="27"/>
        <v>989835.00000000012</v>
      </c>
      <c r="AF119" s="107">
        <f t="shared" si="27"/>
        <v>1079820</v>
      </c>
      <c r="AG119" s="107">
        <f t="shared" si="27"/>
        <v>1079820</v>
      </c>
      <c r="AH119" s="107">
        <f t="shared" si="27"/>
        <v>1079820</v>
      </c>
      <c r="AI119" s="107">
        <f t="shared" si="27"/>
        <v>989835.00000000012</v>
      </c>
      <c r="AJ119" s="107">
        <f t="shared" si="27"/>
        <v>0</v>
      </c>
      <c r="AK119" s="107">
        <f t="shared" si="27"/>
        <v>0</v>
      </c>
      <c r="AL119" s="107">
        <f t="shared" si="27"/>
        <v>0</v>
      </c>
    </row>
    <row r="120" spans="1:41" x14ac:dyDescent="0.25">
      <c r="B120" s="110" t="s">
        <v>126</v>
      </c>
      <c r="C120" s="107">
        <f>F87</f>
        <v>0</v>
      </c>
      <c r="D120" s="107">
        <f t="shared" ref="D120:N120" si="28">G87</f>
        <v>0</v>
      </c>
      <c r="E120" s="107">
        <f t="shared" si="28"/>
        <v>0</v>
      </c>
      <c r="F120" s="107">
        <f t="shared" si="28"/>
        <v>48000</v>
      </c>
      <c r="G120" s="107">
        <f t="shared" si="28"/>
        <v>48000</v>
      </c>
      <c r="H120" s="107">
        <f t="shared" si="28"/>
        <v>48000</v>
      </c>
      <c r="I120" s="107">
        <f t="shared" si="28"/>
        <v>48000</v>
      </c>
      <c r="J120" s="107">
        <f t="shared" si="28"/>
        <v>48000</v>
      </c>
      <c r="K120" s="107">
        <f t="shared" si="28"/>
        <v>48000</v>
      </c>
      <c r="L120" s="107">
        <f t="shared" si="28"/>
        <v>0</v>
      </c>
      <c r="M120" s="107">
        <f t="shared" si="28"/>
        <v>0</v>
      </c>
      <c r="N120" s="107">
        <f t="shared" si="28"/>
        <v>0</v>
      </c>
      <c r="O120" s="107">
        <f>S87</f>
        <v>0</v>
      </c>
      <c r="P120" s="107">
        <f t="shared" ref="P120:Z120" si="29">T87</f>
        <v>0</v>
      </c>
      <c r="Q120" s="107">
        <f t="shared" si="29"/>
        <v>0</v>
      </c>
      <c r="R120" s="107">
        <f t="shared" si="29"/>
        <v>48000</v>
      </c>
      <c r="S120" s="107">
        <f t="shared" si="29"/>
        <v>48000</v>
      </c>
      <c r="T120" s="107">
        <f t="shared" si="29"/>
        <v>48000</v>
      </c>
      <c r="U120" s="107">
        <f t="shared" si="29"/>
        <v>48000</v>
      </c>
      <c r="V120" s="107">
        <f t="shared" si="29"/>
        <v>48000</v>
      </c>
      <c r="W120" s="107">
        <f t="shared" si="29"/>
        <v>48000</v>
      </c>
      <c r="X120" s="107">
        <f t="shared" si="29"/>
        <v>0</v>
      </c>
      <c r="Y120" s="107">
        <f t="shared" si="29"/>
        <v>0</v>
      </c>
      <c r="Z120" s="107">
        <f t="shared" si="29"/>
        <v>0</v>
      </c>
      <c r="AA120" s="107">
        <f>AF87</f>
        <v>0</v>
      </c>
      <c r="AB120" s="107">
        <f t="shared" ref="AB120:AL120" si="30">AG87</f>
        <v>0</v>
      </c>
      <c r="AC120" s="107">
        <f t="shared" si="30"/>
        <v>0</v>
      </c>
      <c r="AD120" s="107">
        <f t="shared" si="30"/>
        <v>48000</v>
      </c>
      <c r="AE120" s="107">
        <f t="shared" si="30"/>
        <v>48000</v>
      </c>
      <c r="AF120" s="107">
        <f t="shared" si="30"/>
        <v>48000</v>
      </c>
      <c r="AG120" s="107">
        <f t="shared" si="30"/>
        <v>48000</v>
      </c>
      <c r="AH120" s="107">
        <f t="shared" si="30"/>
        <v>48000</v>
      </c>
      <c r="AI120" s="107">
        <f t="shared" si="30"/>
        <v>48000</v>
      </c>
      <c r="AJ120" s="107">
        <f t="shared" si="30"/>
        <v>0</v>
      </c>
      <c r="AK120" s="107">
        <f t="shared" si="30"/>
        <v>0</v>
      </c>
      <c r="AL120" s="107">
        <f t="shared" si="30"/>
        <v>0</v>
      </c>
    </row>
    <row r="121" spans="1:41" x14ac:dyDescent="0.25">
      <c r="B121" s="110" t="s">
        <v>246</v>
      </c>
      <c r="C121" s="107">
        <f>F95</f>
        <v>0</v>
      </c>
      <c r="D121" s="107">
        <f t="shared" ref="D121:N121" si="31">G95</f>
        <v>0</v>
      </c>
      <c r="E121" s="107">
        <f t="shared" si="31"/>
        <v>0</v>
      </c>
      <c r="F121" s="107">
        <f t="shared" si="31"/>
        <v>0</v>
      </c>
      <c r="G121" s="107">
        <f t="shared" si="31"/>
        <v>0</v>
      </c>
      <c r="H121" s="107">
        <f t="shared" si="31"/>
        <v>0</v>
      </c>
      <c r="I121" s="107">
        <f t="shared" si="31"/>
        <v>0</v>
      </c>
      <c r="J121" s="107">
        <f t="shared" si="31"/>
        <v>0</v>
      </c>
      <c r="K121" s="107">
        <f t="shared" si="31"/>
        <v>0</v>
      </c>
      <c r="L121" s="107">
        <f t="shared" si="31"/>
        <v>300000</v>
      </c>
      <c r="M121" s="107">
        <f t="shared" si="31"/>
        <v>300000</v>
      </c>
      <c r="N121" s="107">
        <f t="shared" si="31"/>
        <v>300000</v>
      </c>
      <c r="O121" s="107">
        <f>S95</f>
        <v>0</v>
      </c>
      <c r="P121" s="107">
        <f t="shared" ref="P121:Z121" si="32">T95</f>
        <v>0</v>
      </c>
      <c r="Q121" s="107">
        <f t="shared" si="32"/>
        <v>0</v>
      </c>
      <c r="R121" s="107">
        <f t="shared" si="32"/>
        <v>0</v>
      </c>
      <c r="S121" s="107">
        <f t="shared" si="32"/>
        <v>0</v>
      </c>
      <c r="T121" s="107">
        <f t="shared" si="32"/>
        <v>0</v>
      </c>
      <c r="U121" s="107">
        <f t="shared" si="32"/>
        <v>0</v>
      </c>
      <c r="V121" s="107">
        <f t="shared" si="32"/>
        <v>0</v>
      </c>
      <c r="W121" s="107">
        <f t="shared" si="32"/>
        <v>0</v>
      </c>
      <c r="X121" s="107">
        <f t="shared" si="32"/>
        <v>300000</v>
      </c>
      <c r="Y121" s="107">
        <f t="shared" si="32"/>
        <v>300000</v>
      </c>
      <c r="Z121" s="107">
        <f t="shared" si="32"/>
        <v>300000</v>
      </c>
      <c r="AA121" s="107">
        <f>AF95</f>
        <v>0</v>
      </c>
      <c r="AB121" s="107">
        <f t="shared" ref="AB121:AL121" si="33">AG95</f>
        <v>0</v>
      </c>
      <c r="AC121" s="107">
        <f t="shared" si="33"/>
        <v>0</v>
      </c>
      <c r="AD121" s="107">
        <f t="shared" si="33"/>
        <v>0</v>
      </c>
      <c r="AE121" s="107">
        <f t="shared" si="33"/>
        <v>0</v>
      </c>
      <c r="AF121" s="107">
        <f t="shared" si="33"/>
        <v>0</v>
      </c>
      <c r="AG121" s="107">
        <f t="shared" si="33"/>
        <v>0</v>
      </c>
      <c r="AH121" s="107">
        <f t="shared" si="33"/>
        <v>0</v>
      </c>
      <c r="AI121" s="107">
        <f t="shared" si="33"/>
        <v>0</v>
      </c>
      <c r="AJ121" s="107">
        <f t="shared" si="33"/>
        <v>300000</v>
      </c>
      <c r="AK121" s="107">
        <f t="shared" si="33"/>
        <v>300000</v>
      </c>
      <c r="AL121" s="107">
        <f t="shared" si="33"/>
        <v>300000</v>
      </c>
    </row>
    <row r="123" spans="1:41" x14ac:dyDescent="0.25">
      <c r="A123" s="7" t="s">
        <v>303</v>
      </c>
      <c r="C123" s="7" t="str">
        <f>B118</f>
        <v>Месяц</v>
      </c>
      <c r="D123" s="7" t="s">
        <v>19</v>
      </c>
      <c r="E123" s="7" t="str">
        <f t="shared" ref="E123:AN123" si="34">C118</f>
        <v>Сентябрь</v>
      </c>
      <c r="F123" s="7" t="str">
        <f t="shared" si="34"/>
        <v>Октябрь</v>
      </c>
      <c r="G123" s="7" t="str">
        <f t="shared" si="34"/>
        <v>Ноябрь</v>
      </c>
      <c r="H123" s="7" t="str">
        <f t="shared" si="34"/>
        <v>Декабрь</v>
      </c>
      <c r="I123" s="7" t="str">
        <f t="shared" si="34"/>
        <v>Январь</v>
      </c>
      <c r="J123" s="7" t="str">
        <f t="shared" si="34"/>
        <v>Февраль</v>
      </c>
      <c r="K123" s="7" t="str">
        <f t="shared" si="34"/>
        <v>Март</v>
      </c>
      <c r="L123" s="7" t="str">
        <f t="shared" si="34"/>
        <v>Апрель</v>
      </c>
      <c r="M123" s="7" t="str">
        <f t="shared" si="34"/>
        <v>Май</v>
      </c>
      <c r="N123" s="7" t="str">
        <f t="shared" si="34"/>
        <v>Июнь</v>
      </c>
      <c r="O123" s="7" t="str">
        <f t="shared" si="34"/>
        <v>Июль</v>
      </c>
      <c r="P123" s="7" t="str">
        <f t="shared" si="34"/>
        <v>Август</v>
      </c>
      <c r="Q123" s="7" t="str">
        <f t="shared" si="34"/>
        <v>Сентябрь</v>
      </c>
      <c r="R123" s="7" t="str">
        <f t="shared" si="34"/>
        <v>Октябрь</v>
      </c>
      <c r="S123" s="7" t="str">
        <f t="shared" si="34"/>
        <v>Ноябрь</v>
      </c>
      <c r="T123" s="7" t="str">
        <f t="shared" si="34"/>
        <v>Декабрь</v>
      </c>
      <c r="U123" s="7" t="str">
        <f t="shared" si="34"/>
        <v>Январь</v>
      </c>
      <c r="V123" s="7" t="str">
        <f t="shared" si="34"/>
        <v>Февраль</v>
      </c>
      <c r="W123" s="7" t="str">
        <f t="shared" si="34"/>
        <v>Март</v>
      </c>
      <c r="X123" s="7" t="str">
        <f t="shared" si="34"/>
        <v>Апрель</v>
      </c>
      <c r="Y123" s="7" t="str">
        <f t="shared" si="34"/>
        <v>Май</v>
      </c>
      <c r="Z123" s="7" t="str">
        <f t="shared" si="34"/>
        <v>Июнь</v>
      </c>
      <c r="AA123" s="7" t="str">
        <f t="shared" si="34"/>
        <v>Июль</v>
      </c>
      <c r="AB123" s="7" t="str">
        <f t="shared" si="34"/>
        <v>Август</v>
      </c>
      <c r="AC123" s="7" t="str">
        <f t="shared" si="34"/>
        <v>Сентябрь</v>
      </c>
      <c r="AD123" s="7" t="str">
        <f t="shared" si="34"/>
        <v>Октябрь</v>
      </c>
      <c r="AE123" s="7" t="str">
        <f t="shared" si="34"/>
        <v>Ноябрь</v>
      </c>
      <c r="AF123" s="7" t="str">
        <f t="shared" si="34"/>
        <v>Декабрь</v>
      </c>
      <c r="AG123" s="7" t="str">
        <f t="shared" si="34"/>
        <v>Январь</v>
      </c>
      <c r="AH123" s="7" t="str">
        <f t="shared" si="34"/>
        <v>Февраль</v>
      </c>
      <c r="AI123" s="7" t="str">
        <f t="shared" si="34"/>
        <v>Март</v>
      </c>
      <c r="AJ123" s="7" t="str">
        <f t="shared" si="34"/>
        <v>Апрель</v>
      </c>
      <c r="AK123" s="7" t="str">
        <f t="shared" si="34"/>
        <v>Май</v>
      </c>
      <c r="AL123" s="7" t="str">
        <f t="shared" si="34"/>
        <v>Июнь</v>
      </c>
      <c r="AM123" s="7" t="str">
        <f t="shared" si="34"/>
        <v>Июль</v>
      </c>
      <c r="AN123" s="7" t="str">
        <f t="shared" si="34"/>
        <v>Август</v>
      </c>
    </row>
    <row r="124" spans="1:41" x14ac:dyDescent="0.25">
      <c r="D124" s="7">
        <v>0</v>
      </c>
      <c r="E124" s="7">
        <f t="shared" ref="E124:K124" si="35">D124+D125-E126</f>
        <v>0</v>
      </c>
      <c r="F124" s="7">
        <f t="shared" si="35"/>
        <v>36.000000000000014</v>
      </c>
      <c r="G124" s="7">
        <f t="shared" si="35"/>
        <v>48.000000000000014</v>
      </c>
      <c r="H124" s="7">
        <f t="shared" si="35"/>
        <v>60.000000000000014</v>
      </c>
      <c r="I124" s="7">
        <f t="shared" si="35"/>
        <v>60.000000000000014</v>
      </c>
      <c r="J124" s="7">
        <f t="shared" si="35"/>
        <v>72.000000000000014</v>
      </c>
      <c r="K124" s="7">
        <f t="shared" si="35"/>
        <v>72.000000000000014</v>
      </c>
      <c r="L124" s="7">
        <f>K124+K125-L126</f>
        <v>60.000000000000014</v>
      </c>
      <c r="M124" s="7">
        <f t="shared" ref="M124:AN124" si="36">L124+L125-M126</f>
        <v>60.000000000000014</v>
      </c>
      <c r="N124" s="7">
        <f t="shared" si="36"/>
        <v>60.000000000000014</v>
      </c>
      <c r="O124" s="7">
        <f t="shared" si="36"/>
        <v>60.000000000000014</v>
      </c>
      <c r="P124" s="7">
        <f t="shared" si="36"/>
        <v>60.000000000000014</v>
      </c>
      <c r="Q124" s="7">
        <f t="shared" si="36"/>
        <v>79.2</v>
      </c>
      <c r="R124" s="7">
        <f t="shared" si="36"/>
        <v>91.2</v>
      </c>
      <c r="S124" s="7">
        <f t="shared" si="36"/>
        <v>91.2</v>
      </c>
      <c r="T124" s="7">
        <f t="shared" si="36"/>
        <v>76.800000000000026</v>
      </c>
      <c r="U124" s="7">
        <f t="shared" si="36"/>
        <v>76.800000000000026</v>
      </c>
      <c r="V124" s="7">
        <f t="shared" si="36"/>
        <v>91.2</v>
      </c>
      <c r="W124" s="7">
        <f t="shared" si="36"/>
        <v>91.2</v>
      </c>
      <c r="X124" s="7">
        <f t="shared" si="36"/>
        <v>76.800000000000026</v>
      </c>
      <c r="Y124" s="7">
        <f t="shared" si="36"/>
        <v>76.800000000000026</v>
      </c>
      <c r="Z124" s="7">
        <f t="shared" si="36"/>
        <v>76.800000000000026</v>
      </c>
      <c r="AA124" s="7">
        <f t="shared" si="36"/>
        <v>76.800000000000026</v>
      </c>
      <c r="AB124" s="7">
        <f t="shared" si="36"/>
        <v>76.800000000000026</v>
      </c>
      <c r="AC124" s="7">
        <f t="shared" si="36"/>
        <v>98.400000000000048</v>
      </c>
      <c r="AD124" s="7">
        <f t="shared" si="36"/>
        <v>112.80000000000003</v>
      </c>
      <c r="AE124" s="7">
        <f t="shared" si="36"/>
        <v>117.60000000000001</v>
      </c>
      <c r="AF124" s="7">
        <f t="shared" si="36"/>
        <v>100.80000000000003</v>
      </c>
      <c r="AG124" s="7">
        <f t="shared" si="36"/>
        <v>100.80000000000003</v>
      </c>
      <c r="AH124" s="7">
        <f t="shared" si="36"/>
        <v>117.60000000000001</v>
      </c>
      <c r="AI124" s="7">
        <f t="shared" si="36"/>
        <v>117.60000000000001</v>
      </c>
      <c r="AJ124" s="7">
        <f t="shared" si="36"/>
        <v>100.80000000000003</v>
      </c>
      <c r="AK124" s="7">
        <f t="shared" si="36"/>
        <v>100.80000000000003</v>
      </c>
      <c r="AL124" s="7">
        <f t="shared" si="36"/>
        <v>100.80000000000003</v>
      </c>
      <c r="AM124" s="7">
        <f t="shared" si="36"/>
        <v>100.80000000000003</v>
      </c>
      <c r="AN124" s="7">
        <f t="shared" si="36"/>
        <v>100.80000000000003</v>
      </c>
    </row>
    <row r="125" spans="1:41" x14ac:dyDescent="0.25">
      <c r="C125" s="7" t="s">
        <v>305</v>
      </c>
      <c r="D125" s="7">
        <v>0</v>
      </c>
      <c r="E125" s="7">
        <f t="shared" ref="E125:AN125" si="37">IF(F127-E127&gt;0,F127-E127,0)</f>
        <v>36.000000000000014</v>
      </c>
      <c r="F125" s="7">
        <f t="shared" si="37"/>
        <v>12</v>
      </c>
      <c r="G125" s="7">
        <f t="shared" si="37"/>
        <v>24</v>
      </c>
      <c r="H125" s="7">
        <f t="shared" si="37"/>
        <v>0</v>
      </c>
      <c r="I125" s="7">
        <f t="shared" si="37"/>
        <v>12</v>
      </c>
      <c r="J125" s="7">
        <f t="shared" si="37"/>
        <v>0</v>
      </c>
      <c r="K125" s="7">
        <f t="shared" si="37"/>
        <v>0</v>
      </c>
      <c r="L125" s="7">
        <f t="shared" si="37"/>
        <v>0</v>
      </c>
      <c r="M125" s="7">
        <f t="shared" si="37"/>
        <v>0</v>
      </c>
      <c r="N125" s="7">
        <f t="shared" si="37"/>
        <v>0</v>
      </c>
      <c r="O125" s="7">
        <f t="shared" si="37"/>
        <v>0</v>
      </c>
      <c r="P125" s="7">
        <f t="shared" si="37"/>
        <v>19.199999999999989</v>
      </c>
      <c r="Q125" s="7">
        <f t="shared" si="37"/>
        <v>12</v>
      </c>
      <c r="R125" s="7">
        <f t="shared" si="37"/>
        <v>0</v>
      </c>
      <c r="S125" s="7">
        <f t="shared" si="37"/>
        <v>0</v>
      </c>
      <c r="T125" s="7">
        <f t="shared" si="37"/>
        <v>0</v>
      </c>
      <c r="U125" s="7">
        <f t="shared" si="37"/>
        <v>14.399999999999977</v>
      </c>
      <c r="V125" s="7">
        <f t="shared" si="37"/>
        <v>0</v>
      </c>
      <c r="W125" s="7">
        <f t="shared" si="37"/>
        <v>0</v>
      </c>
      <c r="X125" s="7">
        <f t="shared" si="37"/>
        <v>0</v>
      </c>
      <c r="Y125" s="7">
        <f t="shared" si="37"/>
        <v>0</v>
      </c>
      <c r="Z125" s="7">
        <f t="shared" si="37"/>
        <v>0</v>
      </c>
      <c r="AA125" s="7">
        <f t="shared" si="37"/>
        <v>0</v>
      </c>
      <c r="AB125" s="7">
        <f t="shared" si="37"/>
        <v>21.600000000000023</v>
      </c>
      <c r="AC125" s="7">
        <f t="shared" si="37"/>
        <v>14.399999999999977</v>
      </c>
      <c r="AD125" s="7">
        <f t="shared" si="37"/>
        <v>4.7999999999999829</v>
      </c>
      <c r="AE125" s="7">
        <f t="shared" si="37"/>
        <v>0</v>
      </c>
      <c r="AF125" s="7">
        <f t="shared" si="37"/>
        <v>0</v>
      </c>
      <c r="AG125" s="7">
        <f t="shared" si="37"/>
        <v>16.799999999999983</v>
      </c>
      <c r="AH125" s="7">
        <f t="shared" si="37"/>
        <v>0</v>
      </c>
      <c r="AI125" s="7">
        <f t="shared" si="37"/>
        <v>0</v>
      </c>
      <c r="AJ125" s="7">
        <f t="shared" si="37"/>
        <v>0</v>
      </c>
      <c r="AK125" s="7">
        <f t="shared" si="37"/>
        <v>0</v>
      </c>
      <c r="AL125" s="7">
        <f t="shared" si="37"/>
        <v>0</v>
      </c>
      <c r="AM125" s="7">
        <f t="shared" si="37"/>
        <v>0</v>
      </c>
      <c r="AN125" s="7">
        <f t="shared" si="37"/>
        <v>0</v>
      </c>
    </row>
    <row r="126" spans="1:41" x14ac:dyDescent="0.25">
      <c r="C126" s="7" t="s">
        <v>304</v>
      </c>
      <c r="D126" s="7">
        <v>0</v>
      </c>
      <c r="E126" s="7">
        <f>IF(E127-F127&gt;0,E127-F127,0)</f>
        <v>0</v>
      </c>
      <c r="F126" s="7">
        <f>IF(F127-G127&gt;0,F127-G127,0)</f>
        <v>0</v>
      </c>
      <c r="G126" s="7">
        <f t="shared" ref="G126:AN126" si="38">IF(G127-H127&gt;0,G127-H127,0)</f>
        <v>0</v>
      </c>
      <c r="H126" s="7">
        <f t="shared" si="38"/>
        <v>12</v>
      </c>
      <c r="I126" s="7">
        <f t="shared" si="38"/>
        <v>0</v>
      </c>
      <c r="J126" s="7">
        <f t="shared" si="38"/>
        <v>0</v>
      </c>
      <c r="K126" s="7">
        <f t="shared" si="38"/>
        <v>0</v>
      </c>
      <c r="L126" s="7">
        <f t="shared" si="38"/>
        <v>12</v>
      </c>
      <c r="M126" s="7">
        <f t="shared" si="38"/>
        <v>0</v>
      </c>
      <c r="N126" s="7">
        <f t="shared" si="38"/>
        <v>0</v>
      </c>
      <c r="O126" s="7">
        <f t="shared" si="38"/>
        <v>0</v>
      </c>
      <c r="P126" s="7">
        <f t="shared" si="38"/>
        <v>0</v>
      </c>
      <c r="Q126" s="7">
        <f t="shared" si="38"/>
        <v>0</v>
      </c>
      <c r="R126" s="7">
        <f t="shared" si="38"/>
        <v>0</v>
      </c>
      <c r="S126" s="7">
        <f t="shared" si="38"/>
        <v>0</v>
      </c>
      <c r="T126" s="7">
        <f t="shared" si="38"/>
        <v>14.399999999999977</v>
      </c>
      <c r="U126" s="7">
        <f t="shared" si="38"/>
        <v>0</v>
      </c>
      <c r="V126" s="7">
        <f t="shared" si="38"/>
        <v>0</v>
      </c>
      <c r="W126" s="7">
        <f t="shared" si="38"/>
        <v>0</v>
      </c>
      <c r="X126" s="7">
        <f t="shared" si="38"/>
        <v>14.399999999999977</v>
      </c>
      <c r="Y126" s="7">
        <f t="shared" si="38"/>
        <v>0</v>
      </c>
      <c r="Z126" s="7">
        <f t="shared" si="38"/>
        <v>0</v>
      </c>
      <c r="AA126" s="7">
        <f t="shared" si="38"/>
        <v>0</v>
      </c>
      <c r="AB126" s="7">
        <f t="shared" si="38"/>
        <v>0</v>
      </c>
      <c r="AC126" s="7">
        <f t="shared" si="38"/>
        <v>0</v>
      </c>
      <c r="AD126" s="7">
        <f t="shared" si="38"/>
        <v>0</v>
      </c>
      <c r="AE126" s="7">
        <f t="shared" si="38"/>
        <v>0</v>
      </c>
      <c r="AF126" s="7">
        <f t="shared" si="38"/>
        <v>16.799999999999983</v>
      </c>
      <c r="AG126" s="7">
        <f t="shared" si="38"/>
        <v>0</v>
      </c>
      <c r="AH126" s="7">
        <f t="shared" si="38"/>
        <v>0</v>
      </c>
      <c r="AI126" s="7">
        <f t="shared" si="38"/>
        <v>0</v>
      </c>
      <c r="AJ126" s="7">
        <f t="shared" si="38"/>
        <v>16.799999999999983</v>
      </c>
      <c r="AK126" s="7">
        <f t="shared" si="38"/>
        <v>0</v>
      </c>
      <c r="AL126" s="7">
        <f t="shared" si="38"/>
        <v>0</v>
      </c>
      <c r="AM126" s="7">
        <f t="shared" si="38"/>
        <v>0</v>
      </c>
      <c r="AN126" s="7">
        <f t="shared" si="38"/>
        <v>0</v>
      </c>
    </row>
    <row r="127" spans="1:41" x14ac:dyDescent="0.25">
      <c r="C127" s="7" t="s">
        <v>35</v>
      </c>
      <c r="D127" s="7">
        <v>0</v>
      </c>
      <c r="E127" s="112">
        <f t="shared" ref="E127:M127" si="39">F42</f>
        <v>83.999999999999986</v>
      </c>
      <c r="F127" s="112">
        <f t="shared" si="39"/>
        <v>120</v>
      </c>
      <c r="G127" s="112">
        <f t="shared" si="39"/>
        <v>132</v>
      </c>
      <c r="H127" s="112">
        <f t="shared" si="39"/>
        <v>156</v>
      </c>
      <c r="I127" s="112">
        <f t="shared" si="39"/>
        <v>144</v>
      </c>
      <c r="J127" s="112">
        <f t="shared" si="39"/>
        <v>156</v>
      </c>
      <c r="K127" s="112">
        <f t="shared" si="39"/>
        <v>156</v>
      </c>
      <c r="L127" s="112">
        <f t="shared" si="39"/>
        <v>156</v>
      </c>
      <c r="M127" s="112">
        <f t="shared" si="39"/>
        <v>144</v>
      </c>
      <c r="N127" s="112">
        <f>M127</f>
        <v>144</v>
      </c>
      <c r="O127" s="112">
        <f>N127</f>
        <v>144</v>
      </c>
      <c r="P127" s="112">
        <f>O127</f>
        <v>144</v>
      </c>
      <c r="Q127" s="112">
        <f t="shared" ref="Q127:Y127" si="40">S42</f>
        <v>163.19999999999999</v>
      </c>
      <c r="R127" s="112">
        <f t="shared" si="40"/>
        <v>175.2</v>
      </c>
      <c r="S127" s="112">
        <f t="shared" si="40"/>
        <v>175.2</v>
      </c>
      <c r="T127" s="112">
        <f t="shared" si="40"/>
        <v>175.2</v>
      </c>
      <c r="U127" s="112">
        <f t="shared" si="40"/>
        <v>160.80000000000001</v>
      </c>
      <c r="V127" s="112">
        <f t="shared" si="40"/>
        <v>175.2</v>
      </c>
      <c r="W127" s="112">
        <f t="shared" si="40"/>
        <v>175.2</v>
      </c>
      <c r="X127" s="112">
        <f t="shared" si="40"/>
        <v>175.2</v>
      </c>
      <c r="Y127" s="112">
        <f t="shared" si="40"/>
        <v>160.80000000000001</v>
      </c>
      <c r="Z127" s="112">
        <f t="shared" ref="Z127:AB127" si="41">Y127</f>
        <v>160.80000000000001</v>
      </c>
      <c r="AA127" s="112">
        <f t="shared" si="41"/>
        <v>160.80000000000001</v>
      </c>
      <c r="AB127" s="112">
        <f t="shared" si="41"/>
        <v>160.80000000000001</v>
      </c>
      <c r="AC127" s="112">
        <f t="shared" ref="AC127:AK127" si="42">AF42</f>
        <v>182.40000000000003</v>
      </c>
      <c r="AD127" s="112">
        <f t="shared" si="42"/>
        <v>196.8</v>
      </c>
      <c r="AE127" s="112">
        <f t="shared" si="42"/>
        <v>201.6</v>
      </c>
      <c r="AF127" s="112">
        <f t="shared" si="42"/>
        <v>201.6</v>
      </c>
      <c r="AG127" s="112">
        <f t="shared" si="42"/>
        <v>184.8</v>
      </c>
      <c r="AH127" s="112">
        <f t="shared" si="42"/>
        <v>201.6</v>
      </c>
      <c r="AI127" s="112">
        <f t="shared" si="42"/>
        <v>201.6</v>
      </c>
      <c r="AJ127" s="112">
        <f t="shared" si="42"/>
        <v>201.6</v>
      </c>
      <c r="AK127" s="112">
        <f t="shared" si="42"/>
        <v>184.8</v>
      </c>
      <c r="AL127" s="112">
        <f t="shared" ref="AL127:AN127" si="43">AK127</f>
        <v>184.8</v>
      </c>
      <c r="AM127" s="112">
        <f t="shared" si="43"/>
        <v>184.8</v>
      </c>
      <c r="AN127" s="112">
        <f t="shared" si="43"/>
        <v>184.8</v>
      </c>
      <c r="AO127" s="112">
        <f>AN127</f>
        <v>184.8</v>
      </c>
    </row>
  </sheetData>
  <sheetProtection algorithmName="SHA-512" hashValue="PHxrOc3CnPcXn3rn23FB5TC44LxqiP4ZXX+5WRWHXSddHX+j7cwpHBnBmVePH1+8JybHMCiqAfm/hoasTAf4YQ==" saltValue="xKqLOoWT7J5Bf0ZNDGJq9w==" spinCount="100000" sheet="1" objects="1" scenarios="1" formatCells="0"/>
  <dataValidations count="1">
    <dataValidation type="list" showDropDown="1" showInputMessage="1" showErrorMessage="1" sqref="S16:S18">
      <formula1>$S$16:$S$18</formula1>
    </dataValidation>
  </dataValidation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
  <sheetViews>
    <sheetView workbookViewId="0"/>
  </sheetViews>
  <sheetFormatPr defaultRowHeight="15" x14ac:dyDescent="0.25"/>
  <sheetData/>
  <sheetProtection algorithmName="SHA-512" hashValue="pY/SvOlM1Y3eg7qDBIOIggYWQyDX1zzptL3BzFT2SCmbVJj6PVgwc/1gJ6vZfjogWlDKrfzCrl6saDKkFJHO1A==" saltValue="0xk6xYi7pR4zL+HdRWaxMg==" spinCount="100000" sheet="1" objects="1" scenarios="1" formatCell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z r H 2 T k a A n 2 y n A A A A + Q A A A B I A H A B D b 2 5 m a W c v U G F j a 2 F n Z S 5 4 b W w g o h g A K K A U A A A A A A A A A A A A A A A A A A A A A A A A A A A A h Y 9 N D o I w G E S v Q r q n P 4 j G k I + y c C u J 0 W j c k l K h E Y p p i + V u L j y S V 5 B E M e x c z u R N 8 u b 1 e E I 2 t E 1 w l 8 a q T q e I Y Y o C q U V X K l 2 l q H e X c I 0 y D r t C X I t K B i O s b T J Y l a L a u V t C i P c e + w X u T E U i S h k 5 5 9 u D q G V b h E p b V 2 g h 0 W 9 V / l 8 h D q e P D I 9 w F O O Y r p a Y x Z Q B m X r I l Z 4 x o z K m Q G Y l b P r G 9 U Z y 0 4 f 7 I 5 A p A v n e 4 G 9 Q S w M E F A A C A A g A z r H 2 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6 x 9 k 4 o i k e 4 D g A A A B E A A A A T A B w A R m 9 y b X V s Y X M v U 2 V j d G l v b j E u b S C i G A A o o B Q A A A A A A A A A A A A A A A A A A A A A A A A A A A A r T k 0 u y c z P U w i G 0 I b W A F B L A Q I t A B Q A A g A I A M 6 x 9 k 5 G g J 9 s p w A A A P k A A A A S A A A A A A A A A A A A A A A A A A A A A A B D b 2 5 m a W c v U G F j a 2 F n Z S 5 4 b W x Q S w E C L Q A U A A I A C A D O s f Z O D 8 r p q 6 Q A A A D p A A A A E w A A A A A A A A A A A A A A A A D z A A A A W 0 N v b n R l b n R f V H l w Z X N d L n h t b F B L A Q I t A B Q A A g A I A M 6 x 9 k 4 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A m A Q A A A Q A A A N C M n d 8 B F d E R j H o A w E / C l + s B A A A A V B z q V F i Q g U q 5 z 1 R W 3 q J c r g A A A A A C A A A A A A A Q Z g A A A A E A A C A A A A A G F 8 G k 1 2 g M c K 6 o U E d C f Q i 6 q s e + t y O U u f 3 z h 7 U z R l T O d g A A A A A O g A A A A A I A A C A A A A D U h 0 N H y m s o O 0 6 6 7 J g t O Q u l x 3 D 8 A z p G X c 3 E P x m i J 9 u Q d V A A A A C N Z y w f y W x J F 6 q W b B c X 1 1 9 k i B Y J W O 7 n w M E 6 7 P n C x Y C Y 1 r Y 3 g S I 3 x 2 b 3 r M n 6 p e w b Z y P a i M 2 6 T F 2 J T N k B P E C Q V / j Q z 5 s t E q 6 s Z U H 8 k 6 p m v g a D A E A A A A A F p n T E 3 C a G L O E a O s s O 9 2 i d f 1 z f z o P 6 e 6 9 J R u 0 x C w y f o 9 u 9 u S t T 6 N a / v h l z n 5 4 r p Q u w 9 9 X R A o k 9 u B l y G d 8 D W E 5 U < / D a t a M a s h u p > 
</file>

<file path=customXml/itemProps1.xml><?xml version="1.0" encoding="utf-8"?>
<ds:datastoreItem xmlns:ds="http://schemas.openxmlformats.org/officeDocument/2006/customXml" ds:itemID="{8A5AF9A8-266F-44B8-A4B7-7E3E167CC2A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Как пользоваться</vt:lpstr>
      <vt:lpstr>Выбор франшизы</vt:lpstr>
      <vt:lpstr>Вводные</vt:lpstr>
      <vt:lpstr>Дополнительные услуги</vt:lpstr>
      <vt:lpstr>Оборудование</vt:lpstr>
      <vt:lpstr>Результат</vt:lpstr>
      <vt:lpstr>&gt;&gt;</vt:lpstr>
      <vt:lpstr>Вспомогательный</vt:lpstr>
      <vt:lpstr>Замечания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Гамов Виталий</dc:creator>
  <cp:lastModifiedBy>Гамов Виталий</cp:lastModifiedBy>
  <dcterms:created xsi:type="dcterms:W3CDTF">2019-07-22T18:28:46Z</dcterms:created>
  <dcterms:modified xsi:type="dcterms:W3CDTF">2019-08-29T09:36:20Z</dcterms:modified>
</cp:coreProperties>
</file>